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725" activeTab="6"/>
  </bookViews>
  <sheets>
    <sheet name="TOTALE RD" sheetId="1" r:id="rId1"/>
    <sheet name="RD% CERTIFICATA 2014" sheetId="2" r:id="rId2"/>
    <sheet name="RD%2015" sheetId="3" r:id="rId3"/>
    <sheet name="RD%2016" sheetId="4" r:id="rId4"/>
    <sheet name="RD%2017" sheetId="5" r:id="rId5"/>
    <sheet name="RD%2018" sheetId="6" r:id="rId6"/>
    <sheet name="RD% CERTIFICATE" sheetId="7" r:id="rId7"/>
  </sheets>
  <definedNames>
    <definedName name="_xlnm.Print_Area" localSheetId="6">'RD% CERTIFICATE'!$B$9:$G$37</definedName>
  </definedNames>
  <calcPr fullCalcOnLoad="1"/>
</workbook>
</file>

<file path=xl/sharedStrings.xml><?xml version="1.0" encoding="utf-8"?>
<sst xmlns="http://schemas.openxmlformats.org/spreadsheetml/2006/main" count="254" uniqueCount="85">
  <si>
    <t>PERCENTUALI RACCOLTA DIFFERENZIATA</t>
  </si>
  <si>
    <t xml:space="preserve">RD </t>
  </si>
  <si>
    <t>x 100</t>
  </si>
  <si>
    <t xml:space="preserve">TOTALE RIFIUTI </t>
  </si>
  <si>
    <t xml:space="preserve">TOTALE RIFIUTI=  dal totale devo escludere gli inerti e altro </t>
  </si>
  <si>
    <t>ARZIGNANO</t>
  </si>
  <si>
    <t>BRENDOLA</t>
  </si>
  <si>
    <t>BROGLIANO</t>
  </si>
  <si>
    <t>CASTELGOMBERTO</t>
  </si>
  <si>
    <t>CORNEDO</t>
  </si>
  <si>
    <t>CREAZZO</t>
  </si>
  <si>
    <t>CRESPADORO</t>
  </si>
  <si>
    <t>GAMBELLARA</t>
  </si>
  <si>
    <t>MONTEBELLO VIC.NO</t>
  </si>
  <si>
    <t>MONTECCHIO MAGG</t>
  </si>
  <si>
    <t>MONTEVIALE</t>
  </si>
  <si>
    <t xml:space="preserve">MONTORSO </t>
  </si>
  <si>
    <t>NOGAROLE VIC.NO</t>
  </si>
  <si>
    <t>RECOARO TERME</t>
  </si>
  <si>
    <t>S.P. MUSSOLINO</t>
  </si>
  <si>
    <t>SOVIZZO</t>
  </si>
  <si>
    <t>TRISSINO</t>
  </si>
  <si>
    <t>ZERMEGHEDO</t>
  </si>
  <si>
    <t>ALTISSIMO</t>
  </si>
  <si>
    <t>carta e cartone</t>
  </si>
  <si>
    <t>plastica e lattine</t>
  </si>
  <si>
    <t>rifiuto biodegradabile</t>
  </si>
  <si>
    <t>rifiuti urbani</t>
  </si>
  <si>
    <t>rifiuto ingombrante</t>
  </si>
  <si>
    <t>verde e ramaglie</t>
  </si>
  <si>
    <t>vetro</t>
  </si>
  <si>
    <t>Tn</t>
  </si>
  <si>
    <t xml:space="preserve">TOTALE RIFIUTI ANNO 2010 COMUNI AGNO  CHIAMPO AMBINTE SRL </t>
  </si>
  <si>
    <t>PERCENTUALE RD TOTALE</t>
  </si>
  <si>
    <t>altro</t>
  </si>
  <si>
    <t>CHIAMPO</t>
  </si>
  <si>
    <t>VALDAGNO</t>
  </si>
  <si>
    <t xml:space="preserve">%RD=   </t>
  </si>
  <si>
    <t>x100</t>
  </si>
  <si>
    <t xml:space="preserve">%RD 2014 </t>
  </si>
  <si>
    <t xml:space="preserve">CON PERCENTUALE SCARTI IMPIANTI </t>
  </si>
  <si>
    <t>CER 150106 (12,40)</t>
  </si>
  <si>
    <t xml:space="preserve"> RD+SR*55%+ING*30%-PLASTICA*24%</t>
  </si>
  <si>
    <t>RU-inerti e altro</t>
  </si>
  <si>
    <t>CER 150106 (23,20)</t>
  </si>
  <si>
    <t>CER 200303 (39,28)QUINDI NETTO UGUALE A 60,62</t>
  </si>
  <si>
    <t xml:space="preserve">% SCARTI IMPIANTI </t>
  </si>
  <si>
    <t>CERTIFICATA</t>
  </si>
  <si>
    <t>CER 200303 (38,22)QUINDI NETTO 61,78</t>
  </si>
  <si>
    <t>%RD</t>
  </si>
  <si>
    <t>(DGRV288/14)</t>
  </si>
  <si>
    <t>GAMBUGLIANO</t>
  </si>
  <si>
    <t>PERCENTUALI RACCOLTA DIFFERENZIATA CERTIFICATA ANNO 2016</t>
  </si>
  <si>
    <t>CER 150106 (09,08)</t>
  </si>
  <si>
    <t>CER 200303 (39,26)QUINDI NETTO UGUALE A 60,74</t>
  </si>
  <si>
    <t>NON CERTIFICATA</t>
  </si>
  <si>
    <t>(Metodo ISPRA)</t>
  </si>
  <si>
    <t>PERCENTUALI RACCOLTA DIFFERENZIATA CERTIFICATA ANNO 2015</t>
  </si>
  <si>
    <t>PERCENTUALI RACCOLTA DIFFERENZIATA CERTIFICATA ANNO 2017</t>
  </si>
  <si>
    <t>RU</t>
  </si>
  <si>
    <t>CER 200303 (17)QUINDI NETTO UGUALE A 83</t>
  </si>
  <si>
    <t>CER 150106 (9,23)SCARTO  - 90,77 RECUPERO</t>
  </si>
  <si>
    <t xml:space="preserve"> RD+SR*55%+ING*30%+PLASTICA*76%</t>
  </si>
  <si>
    <t>definitiva</t>
  </si>
  <si>
    <t>NB: (Per la voce RD devo togliere dal totale SECCO</t>
  </si>
  <si>
    <t>INTERNA</t>
  </si>
  <si>
    <t>INGOMBRANTE/SPAZZAMENTO/ INERTI/PLASTICA( ANCHE 150102)</t>
  </si>
  <si>
    <t xml:space="preserve"> perché sommati poi)</t>
  </si>
  <si>
    <t>PERCENTUALI RACCOLTA DIFFERENZIATA CERTIFICATA ANNO 2018</t>
  </si>
  <si>
    <t>SCARTO/TN.</t>
  </si>
  <si>
    <t>RECUPERO</t>
  </si>
  <si>
    <t>quantità spazzamento</t>
  </si>
  <si>
    <t>percentiale scarto</t>
  </si>
  <si>
    <t xml:space="preserve">totale </t>
  </si>
  <si>
    <t>media percentuale sul totale generale</t>
  </si>
  <si>
    <t>CER 150106 (9,75)SCARTO  - 90,25 RECUPERO</t>
  </si>
  <si>
    <t>CER 200303 (4,587)QUINDI NETTO UGUALE A 95,41</t>
  </si>
  <si>
    <t>% RD 2016</t>
  </si>
  <si>
    <t>% RD 2017</t>
  </si>
  <si>
    <t>% RD 2018</t>
  </si>
  <si>
    <t>Dati pubblicati sito Arpav all'indirizzo https://www.arpa.veneto.it/temi-ambientali/rifiuti/datirifiuti/banca_dati_ru.php?anno=2018&amp;provincia=VI</t>
  </si>
  <si>
    <t>ARPAV REGIONE VENETO</t>
  </si>
  <si>
    <t>Agenzia Regionale per la Prevenzione e Protezione Ambientale del Veneto</t>
  </si>
  <si>
    <t>% media dei comuni gestiti</t>
  </si>
  <si>
    <t>%RD 2019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</si>
</sst>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000"/>
    <numFmt numFmtId="172" formatCode="0.0000"/>
    <numFmt numFmtId="173" formatCode="0.000"/>
    <numFmt numFmtId="174" formatCode="_-* #,##0.0_-;\-* #,##0.0_-;_-* &quot;-&quot;??_-;_-@_-"/>
    <numFmt numFmtId="175" formatCode="0.0000000"/>
    <numFmt numFmtId="176" formatCode="0.000000"/>
    <numFmt numFmtId="177" formatCode="0.000000000"/>
    <numFmt numFmtId="178" formatCode="0.00000000"/>
    <numFmt numFmtId="179" formatCode="0.0000000000"/>
    <numFmt numFmtId="180" formatCode="[$-410]dddd\ d\ mmmm\ yyyy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indexed="56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62"/>
      <name val="Calibri"/>
      <family val="2"/>
    </font>
    <font>
      <b/>
      <sz val="11"/>
      <name val="Calibri"/>
      <family val="2"/>
    </font>
    <font>
      <i/>
      <u val="single"/>
      <sz val="11"/>
      <name val="Calibri"/>
      <family val="2"/>
    </font>
    <font>
      <i/>
      <u val="single"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4"/>
      <color indexed="9"/>
      <name val="Calibri"/>
      <family val="2"/>
    </font>
    <font>
      <b/>
      <sz val="14"/>
      <color indexed="10"/>
      <name val="Calibri"/>
      <family val="2"/>
    </font>
    <font>
      <b/>
      <i/>
      <sz val="13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theme="3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sz val="11"/>
      <color theme="4"/>
      <name val="Calibri"/>
      <family val="2"/>
    </font>
    <font>
      <b/>
      <sz val="11"/>
      <color theme="3" tint="0.39998000860214233"/>
      <name val="Calibri"/>
      <family val="2"/>
    </font>
    <font>
      <sz val="11"/>
      <color theme="3" tint="0.39998000860214233"/>
      <name val="Calibri"/>
      <family val="2"/>
    </font>
    <font>
      <i/>
      <u val="single"/>
      <sz val="11"/>
      <color theme="1"/>
      <name val="Calibri"/>
      <family val="2"/>
    </font>
    <font>
      <sz val="11"/>
      <color rgb="FF002060"/>
      <name val="Calibri"/>
      <family val="2"/>
    </font>
    <font>
      <b/>
      <sz val="10"/>
      <color rgb="FFFF000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b/>
      <sz val="14"/>
      <color rgb="FFFF0000"/>
      <name val="Calibri"/>
      <family val="2"/>
    </font>
    <font>
      <b/>
      <sz val="14"/>
      <color theme="1"/>
      <name val="Calibri"/>
      <family val="2"/>
    </font>
    <font>
      <b/>
      <i/>
      <sz val="13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53" fillId="33" borderId="0" xfId="0" applyFont="1" applyFill="1" applyAlignment="1">
      <alignment/>
    </xf>
    <xf numFmtId="0" fontId="56" fillId="0" borderId="0" xfId="0" applyFont="1" applyAlignment="1">
      <alignment/>
    </xf>
    <xf numFmtId="0" fontId="53" fillId="0" borderId="0" xfId="0" applyFont="1" applyAlignment="1">
      <alignment/>
    </xf>
    <xf numFmtId="43" fontId="0" fillId="0" borderId="0" xfId="45" applyFont="1" applyAlignment="1">
      <alignment/>
    </xf>
    <xf numFmtId="10" fontId="0" fillId="0" borderId="0" xfId="0" applyNumberFormat="1" applyAlignment="1">
      <alignment/>
    </xf>
    <xf numFmtId="43" fontId="53" fillId="0" borderId="0" xfId="45" applyFont="1" applyAlignment="1">
      <alignment/>
    </xf>
    <xf numFmtId="43" fontId="0" fillId="0" borderId="0" xfId="0" applyNumberFormat="1" applyAlignment="1">
      <alignment/>
    </xf>
    <xf numFmtId="43" fontId="57" fillId="0" borderId="0" xfId="45" applyFont="1" applyAlignment="1">
      <alignment/>
    </xf>
    <xf numFmtId="0" fontId="53" fillId="0" borderId="0" xfId="0" applyFont="1" applyFill="1" applyAlignment="1">
      <alignment/>
    </xf>
    <xf numFmtId="2" fontId="0" fillId="0" borderId="0" xfId="0" applyNumberFormat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173" fontId="0" fillId="0" borderId="0" xfId="0" applyNumberFormat="1" applyAlignment="1">
      <alignment/>
    </xf>
    <xf numFmtId="173" fontId="47" fillId="0" borderId="0" xfId="0" applyNumberFormat="1" applyFont="1" applyAlignment="1">
      <alignment/>
    </xf>
    <xf numFmtId="17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22" fillId="0" borderId="0" xfId="0" applyFont="1" applyAlignment="1">
      <alignment/>
    </xf>
    <xf numFmtId="173" fontId="58" fillId="0" borderId="0" xfId="0" applyNumberFormat="1" applyFont="1" applyAlignment="1">
      <alignment/>
    </xf>
    <xf numFmtId="0" fontId="0" fillId="33" borderId="0" xfId="0" applyFill="1" applyAlignment="1">
      <alignment/>
    </xf>
    <xf numFmtId="0" fontId="53" fillId="33" borderId="0" xfId="0" applyFont="1" applyFill="1" applyAlignment="1">
      <alignment horizontal="center"/>
    </xf>
    <xf numFmtId="0" fontId="0" fillId="0" borderId="0" xfId="0" applyFill="1" applyAlignment="1">
      <alignment/>
    </xf>
    <xf numFmtId="2" fontId="58" fillId="0" borderId="0" xfId="0" applyNumberFormat="1" applyFont="1" applyAlignment="1">
      <alignment/>
    </xf>
    <xf numFmtId="2" fontId="57" fillId="0" borderId="0" xfId="0" applyNumberFormat="1" applyFont="1" applyBorder="1" applyAlignment="1">
      <alignment/>
    </xf>
    <xf numFmtId="0" fontId="53" fillId="34" borderId="0" xfId="0" applyFont="1" applyFill="1" applyBorder="1" applyAlignment="1">
      <alignment horizontal="center"/>
    </xf>
    <xf numFmtId="0" fontId="53" fillId="34" borderId="0" xfId="0" applyFont="1" applyFill="1" applyBorder="1" applyAlignment="1">
      <alignment/>
    </xf>
    <xf numFmtId="0" fontId="53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173" fontId="0" fillId="0" borderId="0" xfId="0" applyNumberFormat="1" applyFill="1" applyAlignment="1">
      <alignment/>
    </xf>
    <xf numFmtId="0" fontId="59" fillId="34" borderId="0" xfId="0" applyFont="1" applyFill="1" applyAlignment="1">
      <alignment/>
    </xf>
    <xf numFmtId="0" fontId="60" fillId="34" borderId="0" xfId="0" applyFont="1" applyFill="1" applyAlignment="1">
      <alignment/>
    </xf>
    <xf numFmtId="0" fontId="59" fillId="0" borderId="0" xfId="0" applyFont="1" applyFill="1" applyAlignment="1">
      <alignment/>
    </xf>
    <xf numFmtId="0" fontId="53" fillId="34" borderId="0" xfId="0" applyFont="1" applyFill="1" applyAlignment="1">
      <alignment horizontal="center"/>
    </xf>
    <xf numFmtId="0" fontId="61" fillId="0" borderId="0" xfId="0" applyFont="1" applyAlignment="1">
      <alignment horizontal="center"/>
    </xf>
    <xf numFmtId="173" fontId="22" fillId="0" borderId="0" xfId="0" applyNumberFormat="1" applyFont="1" applyAlignment="1">
      <alignment/>
    </xf>
    <xf numFmtId="173" fontId="62" fillId="0" borderId="0" xfId="0" applyNumberFormat="1" applyFont="1" applyAlignment="1">
      <alignment/>
    </xf>
    <xf numFmtId="0" fontId="59" fillId="3" borderId="0" xfId="0" applyFont="1" applyFill="1" applyAlignment="1">
      <alignment/>
    </xf>
    <xf numFmtId="0" fontId="60" fillId="3" borderId="0" xfId="0" applyFont="1" applyFill="1" applyAlignment="1">
      <alignment/>
    </xf>
    <xf numFmtId="0" fontId="63" fillId="10" borderId="0" xfId="0" applyFont="1" applyFill="1" applyAlignment="1">
      <alignment horizontal="center"/>
    </xf>
    <xf numFmtId="0" fontId="57" fillId="0" borderId="11" xfId="0" applyFont="1" applyBorder="1" applyAlignment="1">
      <alignment horizontal="center"/>
    </xf>
    <xf numFmtId="173" fontId="64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  <xf numFmtId="173" fontId="22" fillId="0" borderId="0" xfId="0" applyNumberFormat="1" applyFont="1" applyAlignment="1">
      <alignment horizontal="center"/>
    </xf>
    <xf numFmtId="2" fontId="47" fillId="0" borderId="0" xfId="0" applyNumberFormat="1" applyFont="1" applyAlignment="1">
      <alignment horizontal="center"/>
    </xf>
    <xf numFmtId="2" fontId="47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28" fillId="0" borderId="0" xfId="0" applyFont="1" applyAlignment="1">
      <alignment/>
    </xf>
    <xf numFmtId="0" fontId="53" fillId="0" borderId="10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57" fillId="0" borderId="0" xfId="0" applyFont="1" applyBorder="1" applyAlignment="1">
      <alignment horizontal="center"/>
    </xf>
    <xf numFmtId="0" fontId="53" fillId="12" borderId="0" xfId="0" applyFont="1" applyFill="1" applyAlignment="1">
      <alignment/>
    </xf>
    <xf numFmtId="0" fontId="53" fillId="12" borderId="10" xfId="0" applyFont="1" applyFill="1" applyBorder="1" applyAlignment="1">
      <alignment/>
    </xf>
    <xf numFmtId="0" fontId="53" fillId="12" borderId="0" xfId="0" applyFont="1" applyFill="1" applyBorder="1" applyAlignment="1">
      <alignment/>
    </xf>
    <xf numFmtId="0" fontId="0" fillId="12" borderId="0" xfId="0" applyFill="1" applyAlignment="1">
      <alignment/>
    </xf>
    <xf numFmtId="0" fontId="53" fillId="12" borderId="0" xfId="0" applyFont="1" applyFill="1" applyBorder="1" applyAlignment="1">
      <alignment horizontal="center"/>
    </xf>
    <xf numFmtId="0" fontId="29" fillId="12" borderId="0" xfId="0" applyFont="1" applyFill="1" applyBorder="1" applyAlignment="1">
      <alignment/>
    </xf>
    <xf numFmtId="0" fontId="65" fillId="12" borderId="0" xfId="0" applyFont="1" applyFill="1" applyAlignment="1">
      <alignment/>
    </xf>
    <xf numFmtId="0" fontId="29" fillId="12" borderId="0" xfId="0" applyFont="1" applyFill="1" applyAlignment="1">
      <alignment/>
    </xf>
    <xf numFmtId="0" fontId="59" fillId="12" borderId="0" xfId="0" applyFont="1" applyFill="1" applyAlignment="1">
      <alignment/>
    </xf>
    <xf numFmtId="0" fontId="60" fillId="12" borderId="0" xfId="0" applyFont="1" applyFill="1" applyAlignment="1">
      <alignment/>
    </xf>
    <xf numFmtId="2" fontId="66" fillId="12" borderId="0" xfId="0" applyNumberFormat="1" applyFont="1" applyFill="1" applyAlignment="1">
      <alignment horizontal="center"/>
    </xf>
    <xf numFmtId="173" fontId="47" fillId="12" borderId="0" xfId="0" applyNumberFormat="1" applyFont="1" applyFill="1" applyAlignment="1">
      <alignment/>
    </xf>
    <xf numFmtId="2" fontId="0" fillId="12" borderId="0" xfId="0" applyNumberFormat="1" applyFill="1" applyAlignment="1">
      <alignment/>
    </xf>
    <xf numFmtId="2" fontId="66" fillId="0" borderId="0" xfId="0" applyNumberFormat="1" applyFont="1" applyFill="1" applyAlignment="1">
      <alignment horizontal="center"/>
    </xf>
    <xf numFmtId="0" fontId="0" fillId="0" borderId="12" xfId="0" applyBorder="1" applyAlignment="1">
      <alignment horizontal="center"/>
    </xf>
    <xf numFmtId="2" fontId="66" fillId="12" borderId="12" xfId="0" applyNumberFormat="1" applyFont="1" applyFill="1" applyBorder="1" applyAlignment="1">
      <alignment horizontal="center"/>
    </xf>
    <xf numFmtId="173" fontId="0" fillId="0" borderId="0" xfId="0" applyNumberFormat="1" applyFill="1" applyBorder="1" applyAlignment="1">
      <alignment/>
    </xf>
    <xf numFmtId="173" fontId="0" fillId="0" borderId="0" xfId="0" applyNumberFormat="1" applyBorder="1" applyAlignment="1">
      <alignment/>
    </xf>
    <xf numFmtId="2" fontId="47" fillId="0" borderId="0" xfId="0" applyNumberFormat="1" applyFont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12" borderId="0" xfId="0" applyFill="1" applyBorder="1" applyAlignment="1">
      <alignment/>
    </xf>
    <xf numFmtId="2" fontId="47" fillId="0" borderId="12" xfId="0" applyNumberFormat="1" applyFont="1" applyFill="1" applyBorder="1" applyAlignment="1">
      <alignment horizontal="center"/>
    </xf>
    <xf numFmtId="2" fontId="47" fillId="0" borderId="12" xfId="0" applyNumberFormat="1" applyFont="1" applyBorder="1" applyAlignment="1">
      <alignment horizontal="center"/>
    </xf>
    <xf numFmtId="2" fontId="66" fillId="0" borderId="0" xfId="0" applyNumberFormat="1" applyFont="1" applyAlignment="1">
      <alignment horizontal="center"/>
    </xf>
    <xf numFmtId="2" fontId="66" fillId="12" borderId="0" xfId="0" applyNumberFormat="1" applyFont="1" applyFill="1" applyAlignment="1">
      <alignment/>
    </xf>
    <xf numFmtId="0" fontId="0" fillId="0" borderId="0" xfId="0" applyBorder="1" applyAlignment="1">
      <alignment horizontal="center" vertical="center"/>
    </xf>
    <xf numFmtId="0" fontId="65" fillId="0" borderId="0" xfId="0" applyFont="1" applyFill="1" applyAlignment="1">
      <alignment/>
    </xf>
    <xf numFmtId="0" fontId="29" fillId="0" borderId="0" xfId="0" applyFont="1" applyFill="1" applyAlignment="1">
      <alignment/>
    </xf>
    <xf numFmtId="173" fontId="47" fillId="0" borderId="0" xfId="0" applyNumberFormat="1" applyFont="1" applyFill="1" applyAlignment="1">
      <alignment/>
    </xf>
    <xf numFmtId="0" fontId="67" fillId="12" borderId="0" xfId="0" applyFont="1" applyFill="1" applyAlignment="1">
      <alignment/>
    </xf>
    <xf numFmtId="2" fontId="47" fillId="12" borderId="12" xfId="0" applyNumberFormat="1" applyFont="1" applyFill="1" applyBorder="1" applyAlignment="1">
      <alignment horizontal="center"/>
    </xf>
    <xf numFmtId="2" fontId="0" fillId="12" borderId="0" xfId="0" applyNumberFormat="1" applyFill="1" applyBorder="1" applyAlignment="1">
      <alignment/>
    </xf>
    <xf numFmtId="0" fontId="0" fillId="0" borderId="13" xfId="0" applyBorder="1" applyAlignment="1">
      <alignment horizontal="center"/>
    </xf>
    <xf numFmtId="0" fontId="42" fillId="0" borderId="0" xfId="36" applyAlignment="1" applyProtection="1">
      <alignment/>
      <protection/>
    </xf>
    <xf numFmtId="0" fontId="57" fillId="0" borderId="0" xfId="0" applyFont="1" applyAlignment="1">
      <alignment/>
    </xf>
    <xf numFmtId="0" fontId="68" fillId="0" borderId="14" xfId="0" applyFont="1" applyBorder="1" applyAlignment="1">
      <alignment/>
    </xf>
    <xf numFmtId="0" fontId="68" fillId="0" borderId="0" xfId="0" applyFont="1" applyBorder="1" applyAlignment="1">
      <alignment/>
    </xf>
    <xf numFmtId="2" fontId="68" fillId="0" borderId="0" xfId="0" applyNumberFormat="1" applyFont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2" fontId="34" fillId="0" borderId="15" xfId="0" applyNumberFormat="1" applyFont="1" applyFill="1" applyBorder="1" applyAlignment="1">
      <alignment horizontal="center"/>
    </xf>
    <xf numFmtId="2" fontId="34" fillId="0" borderId="0" xfId="0" applyNumberFormat="1" applyFont="1" applyBorder="1" applyAlignment="1">
      <alignment horizontal="center"/>
    </xf>
    <xf numFmtId="0" fontId="34" fillId="0" borderId="0" xfId="0" applyFont="1" applyBorder="1" applyAlignment="1">
      <alignment/>
    </xf>
    <xf numFmtId="43" fontId="69" fillId="0" borderId="0" xfId="0" applyNumberFormat="1" applyFont="1" applyFill="1" applyBorder="1" applyAlignment="1">
      <alignment horizontal="center"/>
    </xf>
    <xf numFmtId="0" fontId="70" fillId="0" borderId="14" xfId="0" applyFont="1" applyBorder="1" applyAlignment="1">
      <alignment/>
    </xf>
    <xf numFmtId="0" fontId="70" fillId="0" borderId="0" xfId="0" applyFont="1" applyFill="1" applyBorder="1" applyAlignment="1">
      <alignment/>
    </xf>
    <xf numFmtId="2" fontId="70" fillId="0" borderId="0" xfId="0" applyNumberFormat="1" applyFont="1" applyFill="1" applyBorder="1" applyAlignment="1">
      <alignment horizontal="center"/>
    </xf>
    <xf numFmtId="2" fontId="70" fillId="0" borderId="15" xfId="0" applyNumberFormat="1" applyFont="1" applyFill="1" applyBorder="1" applyAlignment="1">
      <alignment horizontal="center"/>
    </xf>
    <xf numFmtId="0" fontId="68" fillId="0" borderId="16" xfId="0" applyFont="1" applyBorder="1" applyAlignment="1">
      <alignment/>
    </xf>
    <xf numFmtId="0" fontId="71" fillId="10" borderId="0" xfId="0" applyFont="1" applyFill="1" applyBorder="1" applyAlignment="1">
      <alignment horizontal="center"/>
    </xf>
    <xf numFmtId="0" fontId="71" fillId="10" borderId="15" xfId="0" applyFont="1" applyFill="1" applyBorder="1" applyAlignment="1">
      <alignment horizontal="center"/>
    </xf>
    <xf numFmtId="0" fontId="71" fillId="0" borderId="14" xfId="0" applyFont="1" applyBorder="1" applyAlignment="1">
      <alignment horizontal="center"/>
    </xf>
    <xf numFmtId="0" fontId="71" fillId="0" borderId="0" xfId="0" applyFont="1" applyBorder="1" applyAlignment="1">
      <alignment horizontal="center"/>
    </xf>
    <xf numFmtId="0" fontId="72" fillId="0" borderId="17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3" fillId="12" borderId="13" xfId="0" applyFont="1" applyFill="1" applyBorder="1" applyAlignment="1">
      <alignment horizontal="center"/>
    </xf>
    <xf numFmtId="0" fontId="71" fillId="0" borderId="18" xfId="0" applyFont="1" applyBorder="1" applyAlignment="1">
      <alignment horizontal="center"/>
    </xf>
    <xf numFmtId="0" fontId="71" fillId="0" borderId="19" xfId="0" applyFont="1" applyBorder="1" applyAlignment="1">
      <alignment horizontal="center"/>
    </xf>
    <xf numFmtId="0" fontId="71" fillId="0" borderId="20" xfId="0" applyFont="1" applyBorder="1" applyAlignment="1">
      <alignment horizontal="center"/>
    </xf>
    <xf numFmtId="0" fontId="71" fillId="0" borderId="14" xfId="0" applyFont="1" applyBorder="1" applyAlignment="1">
      <alignment horizontal="center"/>
    </xf>
    <xf numFmtId="0" fontId="71" fillId="0" borderId="0" xfId="0" applyFont="1" applyBorder="1" applyAlignment="1">
      <alignment horizontal="center"/>
    </xf>
    <xf numFmtId="0" fontId="71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1" xfId="0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9.8515625" style="0" customWidth="1"/>
    <col min="2" max="2" width="20.7109375" style="0" bestFit="1" customWidth="1"/>
    <col min="3" max="4" width="10.57421875" style="0" bestFit="1" customWidth="1"/>
    <col min="7" max="7" width="10.57421875" style="0" bestFit="1" customWidth="1"/>
  </cols>
  <sheetData>
    <row r="1" ht="15">
      <c r="A1" s="5" t="s">
        <v>32</v>
      </c>
    </row>
    <row r="2" ht="15">
      <c r="C2" s="2" t="s">
        <v>31</v>
      </c>
    </row>
    <row r="3" spans="1:3" ht="15">
      <c r="A3">
        <v>200101</v>
      </c>
      <c r="B3" t="s">
        <v>24</v>
      </c>
      <c r="C3" s="6">
        <f>5410.03+709.84</f>
        <v>6119.87</v>
      </c>
    </row>
    <row r="4" spans="1:3" ht="15">
      <c r="A4">
        <v>150106</v>
      </c>
      <c r="B4" t="s">
        <v>25</v>
      </c>
      <c r="C4" s="6">
        <f>283.58+2.44+2772.48</f>
        <v>3058.5</v>
      </c>
    </row>
    <row r="5" spans="1:3" ht="15">
      <c r="A5">
        <v>200108</v>
      </c>
      <c r="B5" t="s">
        <v>26</v>
      </c>
      <c r="C5" s="6">
        <f>10311.39-1436.52-774.38</f>
        <v>8100.489999999999</v>
      </c>
    </row>
    <row r="6" spans="1:3" ht="15">
      <c r="A6">
        <v>200301</v>
      </c>
      <c r="B6" t="s">
        <v>27</v>
      </c>
      <c r="C6" s="6">
        <f>15733.62-2465.51-1052.49</f>
        <v>12215.62</v>
      </c>
    </row>
    <row r="7" spans="1:3" ht="15">
      <c r="A7">
        <v>200307</v>
      </c>
      <c r="B7" t="s">
        <v>28</v>
      </c>
      <c r="C7" s="6">
        <f>2530.76-423.48-97.46</f>
        <v>2009.8200000000002</v>
      </c>
    </row>
    <row r="8" spans="1:3" ht="15">
      <c r="A8">
        <v>200201</v>
      </c>
      <c r="B8" t="s">
        <v>29</v>
      </c>
      <c r="C8" s="6">
        <f>5219.58-844.46-212.4</f>
        <v>4162.72</v>
      </c>
    </row>
    <row r="9" spans="1:3" ht="15">
      <c r="A9">
        <v>150107</v>
      </c>
      <c r="B9" t="s">
        <v>30</v>
      </c>
      <c r="C9" s="6">
        <f>13.9+4453.21</f>
        <v>4467.11</v>
      </c>
    </row>
    <row r="10" ht="15">
      <c r="C10" s="10">
        <f>SUM(C3:C9)</f>
        <v>40134.13</v>
      </c>
    </row>
    <row r="11" spans="1:4" ht="15">
      <c r="A11" s="5" t="s">
        <v>34</v>
      </c>
      <c r="B11" s="5"/>
      <c r="C11" s="8">
        <f>57068.267-5810.3-2356.38-40134.13</f>
        <v>8767.457000000002</v>
      </c>
      <c r="D11" s="9"/>
    </row>
    <row r="13" spans="1:7" ht="15">
      <c r="A13" t="s">
        <v>33</v>
      </c>
      <c r="C13" s="7">
        <v>0.626</v>
      </c>
      <c r="G13" s="9"/>
    </row>
    <row r="15" ht="15">
      <c r="G15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4">
      <selection activeCell="K14" sqref="K14"/>
    </sheetView>
  </sheetViews>
  <sheetFormatPr defaultColWidth="9.140625" defaultRowHeight="15"/>
  <cols>
    <col min="1" max="1" width="6.57421875" style="0" customWidth="1"/>
    <col min="3" max="3" width="12.421875" style="0" customWidth="1"/>
    <col min="4" max="4" width="9.8515625" style="0" bestFit="1" customWidth="1"/>
    <col min="5" max="5" width="3.57421875" style="0" customWidth="1"/>
    <col min="6" max="6" width="10.421875" style="0" customWidth="1"/>
    <col min="9" max="9" width="4.57421875" style="0" customWidth="1"/>
    <col min="10" max="10" width="4.00390625" style="0" customWidth="1"/>
    <col min="11" max="11" width="12.28125" style="0" customWidth="1"/>
  </cols>
  <sheetData>
    <row r="1" ht="15.75">
      <c r="B1" s="4" t="s">
        <v>0</v>
      </c>
    </row>
    <row r="3" spans="2:3" ht="15">
      <c r="B3" s="1" t="s">
        <v>1</v>
      </c>
      <c r="C3" s="2" t="s">
        <v>2</v>
      </c>
    </row>
    <row r="4" spans="2:3" ht="15">
      <c r="B4" t="s">
        <v>3</v>
      </c>
      <c r="C4" s="2"/>
    </row>
    <row r="5" spans="3:5" ht="15">
      <c r="C5" s="14"/>
      <c r="D5" s="14"/>
      <c r="E5" s="14"/>
    </row>
    <row r="6" spans="2:7" ht="21.75" customHeight="1">
      <c r="B6" t="s">
        <v>37</v>
      </c>
      <c r="C6" s="1" t="s">
        <v>42</v>
      </c>
      <c r="D6" s="1"/>
      <c r="E6" s="1"/>
      <c r="F6" s="108" t="s">
        <v>38</v>
      </c>
      <c r="G6" s="14"/>
    </row>
    <row r="7" spans="3:6" ht="15">
      <c r="C7" s="109" t="s">
        <v>43</v>
      </c>
      <c r="D7" s="109"/>
      <c r="E7" s="109"/>
      <c r="F7" s="108"/>
    </row>
    <row r="8" ht="15">
      <c r="B8" t="s">
        <v>4</v>
      </c>
    </row>
    <row r="9" spans="4:11" ht="15">
      <c r="D9" s="21"/>
      <c r="E9" s="21"/>
      <c r="F9" s="3" t="s">
        <v>46</v>
      </c>
      <c r="G9" s="21"/>
      <c r="H9" s="21"/>
      <c r="I9" s="21"/>
      <c r="K9" s="14"/>
    </row>
    <row r="10" spans="4:11" ht="15">
      <c r="D10" s="22" t="s">
        <v>39</v>
      </c>
      <c r="E10" s="21"/>
      <c r="F10" s="21" t="s">
        <v>41</v>
      </c>
      <c r="G10" s="21"/>
      <c r="H10" s="21"/>
      <c r="I10" s="21"/>
      <c r="K10" s="27" t="s">
        <v>47</v>
      </c>
    </row>
    <row r="11" spans="4:11" ht="15">
      <c r="D11" s="3"/>
      <c r="E11" s="21"/>
      <c r="F11" s="21" t="s">
        <v>48</v>
      </c>
      <c r="G11" s="21"/>
      <c r="H11" s="21"/>
      <c r="I11" s="21"/>
      <c r="K11" s="26">
        <v>2014</v>
      </c>
    </row>
    <row r="12" spans="1:11" ht="15">
      <c r="A12">
        <v>1</v>
      </c>
      <c r="B12" t="s">
        <v>23</v>
      </c>
      <c r="D12" s="17">
        <f>(306.542+(0*55%)+(37.64*30%)-(35.52*24%))/(485.152)*100</f>
        <v>63.755111800013175</v>
      </c>
      <c r="F12" s="24">
        <f>(306.542+(0*61.78%)+(37.64*30%)-(35.52*12.4%))/(485.152)*100</f>
        <v>64.60439614801135</v>
      </c>
      <c r="K12" s="25">
        <v>64.6</v>
      </c>
    </row>
    <row r="13" spans="1:11" ht="15">
      <c r="A13">
        <v>2</v>
      </c>
      <c r="B13" t="s">
        <v>5</v>
      </c>
      <c r="D13" s="17">
        <f>(6339.939+(900.132*55%)+(315.04*30%)-(709.76*24%))/(10012.321-181.98-0.048)*100</f>
        <v>68.75869518843437</v>
      </c>
      <c r="F13" s="24">
        <f>(6339.939+(900.132*61.78%)+(315.04*30%)-(709.76*12.4%))/(10012.321-181.98-0.048)*100</f>
        <v>70.21705568287742</v>
      </c>
      <c r="K13" s="25">
        <v>70.9</v>
      </c>
    </row>
    <row r="14" spans="1:11" ht="15">
      <c r="A14">
        <v>3</v>
      </c>
      <c r="B14" t="s">
        <v>6</v>
      </c>
      <c r="D14" s="17">
        <f>(1498.87+(218.62*55%)+(119.226*30%)-(177.499*24%))/(2454.094-76.214)*100</f>
        <v>67.80321294598549</v>
      </c>
      <c r="F14" s="24">
        <f>(1498.87+(218.62*61.78%)+(119.226*30%)-(177.499*12.4%))/(2454.094-76.214)*100</f>
        <v>69.29245210019008</v>
      </c>
      <c r="K14" s="25">
        <v>69.94</v>
      </c>
    </row>
    <row r="15" spans="1:11" ht="15">
      <c r="A15">
        <v>4</v>
      </c>
      <c r="B15" t="s">
        <v>7</v>
      </c>
      <c r="D15" s="17">
        <f>(824.668+(14.96*55%)+(86.54*30%)-(75.48*24%))/(1252.418-41.36)*100</f>
        <v>69.42217466050346</v>
      </c>
      <c r="F15" s="24">
        <f>(824.668+(14.96*61.78%)+(86.54*30%)-(75.48*12.4%))/(1252.418-41.36)*100</f>
        <v>70.22890464370823</v>
      </c>
      <c r="K15" s="25">
        <v>70.27</v>
      </c>
    </row>
    <row r="16" spans="1:11" ht="15">
      <c r="A16">
        <v>5</v>
      </c>
      <c r="B16" t="s">
        <v>8</v>
      </c>
      <c r="D16" s="17">
        <f>(1261.224+(166.36*55%)+(135.04*30%)-(146.29*24%))/(2159.934-142.8)*100</f>
        <v>67.3294089534954</v>
      </c>
      <c r="F16" s="24">
        <f>(1261.224+(166.36*61.78%)+(135.04*30%)-(146.29*12.4%))/(2159.934-142.8)*100</f>
        <v>68.72985374298383</v>
      </c>
      <c r="K16" s="25">
        <v>69.96</v>
      </c>
    </row>
    <row r="17" spans="1:11" ht="15">
      <c r="A17">
        <v>6</v>
      </c>
      <c r="B17" t="s">
        <v>9</v>
      </c>
      <c r="D17" s="17">
        <f>(2324.498+(264.957*55%)+(182.7*30%)-(264.31*24%))/(3865.415-195.16)*100</f>
        <v>67.06890801865265</v>
      </c>
      <c r="F17" s="24">
        <f>(2324.498+(264.957*61.78%)+(182.7*30%)-(264.31*12.4%))/(3865.415-195.16)*100</f>
        <v>68.39372181496925</v>
      </c>
      <c r="K17" s="25">
        <v>68.91</v>
      </c>
    </row>
    <row r="18" spans="1:11" ht="15">
      <c r="A18">
        <v>7</v>
      </c>
      <c r="B18" t="s">
        <v>10</v>
      </c>
      <c r="D18" s="17">
        <f>(2734.716+(232*55%)+(208.92*30%)-(243.26*24%))/(4121.976-167.56)*100</f>
        <v>72.49135144102189</v>
      </c>
      <c r="F18" s="24">
        <f>(2734.716+(232*61.78%)+(208.92*30%)-(243.26*12.4%))/(4121.976-167.56)*100</f>
        <v>73.60271048872956</v>
      </c>
      <c r="K18" s="25">
        <v>74.01</v>
      </c>
    </row>
    <row r="19" spans="1:11" ht="15">
      <c r="A19">
        <v>8</v>
      </c>
      <c r="B19" t="s">
        <v>11</v>
      </c>
      <c r="D19" s="17">
        <f>(202.97+(0*55%)+(17.16*30%)-(24.84*24%))/(404.91-0)*100</f>
        <v>49.92625521720876</v>
      </c>
      <c r="F19" s="24">
        <f>(202.97+(0*61.78%)+(17.16*30%)-(24.84*12.4%))/(404.91-0)*100</f>
        <v>50.63788002272109</v>
      </c>
      <c r="K19" s="25">
        <v>50.64</v>
      </c>
    </row>
    <row r="20" spans="1:11" ht="15">
      <c r="A20">
        <v>9</v>
      </c>
      <c r="B20" t="s">
        <v>12</v>
      </c>
      <c r="D20" s="17">
        <f>(734.315+(37.735*55%)+(73.56*30%)-(80.74*24%))/(1217.94-82.68)*100</f>
        <v>66.74767454151471</v>
      </c>
      <c r="F20" s="24">
        <f>(734.315+(37.735*61.78%)+(73.56*30%)-(80.74*12.4%))/(1217.94-82.68)*100</f>
        <v>67.79803067138805</v>
      </c>
      <c r="K20" s="25">
        <v>67.87</v>
      </c>
    </row>
    <row r="21" spans="1:11" ht="15">
      <c r="A21">
        <v>10</v>
      </c>
      <c r="B21" t="s">
        <v>13</v>
      </c>
      <c r="D21" s="17">
        <f>(1532.895+(115.12*55%)+(132*30%)-(156.57*24%))/(2544.395-123.86)*100</f>
        <v>66.0281384074182</v>
      </c>
      <c r="F21" s="24">
        <f>(1532.895+(115.12*61.78%)+(132*30%)-(156.57*12.4%))/(2544.395-123.86)*100</f>
        <v>67.10092834848493</v>
      </c>
      <c r="K21" s="25">
        <v>67.47</v>
      </c>
    </row>
    <row r="22" spans="1:11" ht="15">
      <c r="A22">
        <v>11</v>
      </c>
      <c r="B22" t="s">
        <v>14</v>
      </c>
      <c r="D22" s="17">
        <f>(5685.04+(777.336*55%)+(597.874*30%)-(590.431*24%))/(9477.146-502.286)*100</f>
        <v>68.52734817033357</v>
      </c>
      <c r="F22" s="24">
        <f>(5685.04+(777.336*61.78%)+(597.874*30%)-(590.431*12.4%))/(9477.146-502.286)*100</f>
        <v>69.87771326572224</v>
      </c>
      <c r="K22" s="25">
        <v>70.52</v>
      </c>
    </row>
    <row r="23" spans="1:11" ht="15">
      <c r="A23">
        <v>12</v>
      </c>
      <c r="B23" t="s">
        <v>15</v>
      </c>
      <c r="D23" s="17">
        <f>(570.337+(54.02*55%)+(65.36*30%)-(56.7*24%))/(896.977-50.12)*100</f>
        <v>71.56438454190022</v>
      </c>
      <c r="F23" s="24">
        <f>(570.337+(54.02*61.78%)+(65.36*30%)-(56.7*12.4%))/(896.977-50.12)*100</f>
        <v>72.77353272158109</v>
      </c>
      <c r="K23" s="25">
        <v>73.31</v>
      </c>
    </row>
    <row r="24" spans="1:11" ht="15">
      <c r="A24">
        <v>13</v>
      </c>
      <c r="B24" t="s">
        <v>16</v>
      </c>
      <c r="D24" s="17">
        <f>(685.273+(53.66*55%)+(69.4*30%)-(90.4*24%))/(1114.983-58.24)*100</f>
        <v>67.55758022527712</v>
      </c>
      <c r="F24" s="24">
        <f>(685.273+(53.66*61.78%)+(69.4*30%)-(90.4*12.4%))/(1114.983-58.24)*100</f>
        <v>68.89419168142113</v>
      </c>
      <c r="K24" s="25">
        <v>69.22</v>
      </c>
    </row>
    <row r="25" spans="1:11" ht="15">
      <c r="A25">
        <v>14</v>
      </c>
      <c r="B25" t="s">
        <v>17</v>
      </c>
      <c r="D25" s="17">
        <f>(217.435+(0*55%)+(22.16*30%)-(26.42*24%))/(319.995-0)*100</f>
        <v>68.0455007109486</v>
      </c>
      <c r="F25" s="24">
        <f>(217.435+(0*61.78%)+(22.16*30%)-(26.42*12.4%))/(319.995-0)*100</f>
        <v>69.00324067563555</v>
      </c>
      <c r="K25" s="25">
        <v>69</v>
      </c>
    </row>
    <row r="26" spans="1:11" ht="15">
      <c r="A26">
        <v>15</v>
      </c>
      <c r="B26" t="s">
        <v>18</v>
      </c>
      <c r="D26" s="17">
        <f>(1333.095+(80.56*55%)+(137.88*30%)-(124.7*24%))/(2260.175-167.08)*100</f>
        <v>66.35336666515374</v>
      </c>
      <c r="F26" s="24">
        <f>(1333.095+(80.56*61.78%)+(137.88*30%)-(124.7*12.4%))/(2260.175-167.08)*100</f>
        <v>67.30540983567397</v>
      </c>
      <c r="K26" s="25">
        <v>67.48</v>
      </c>
    </row>
    <row r="27" spans="1:11" ht="15">
      <c r="A27">
        <v>16</v>
      </c>
      <c r="B27" t="s">
        <v>19</v>
      </c>
      <c r="D27" s="17">
        <f>(225.858+(4.08*55%)+(15.5*30%)-(32.42*24%))/(359.488-0)*100</f>
        <v>62.581004094712476</v>
      </c>
      <c r="F27" s="24">
        <f>(225.858+(4.08*61.78%)+(15.5*30%)-(32.42*12.4%))/(359.488-0)*100</f>
        <v>63.7040858109311</v>
      </c>
      <c r="K27" s="25">
        <v>63.63</v>
      </c>
    </row>
    <row r="28" spans="1:11" ht="15">
      <c r="A28">
        <v>17</v>
      </c>
      <c r="B28" t="s">
        <v>20</v>
      </c>
      <c r="D28" s="17">
        <f>(1625.721+(150.54*55%)+(120*30%)-(169.32*24%))/(2563.171-122.98)*100</f>
        <v>69.8257308546749</v>
      </c>
      <c r="F28" s="24">
        <f>(1625.721+(150.54*61.78%)+(120*30%)-(169.32*12.4%))/(2563.171-122.98)*100</f>
        <v>71.04890281129633</v>
      </c>
      <c r="K28" s="25">
        <v>71.41</v>
      </c>
    </row>
    <row r="29" spans="1:11" ht="15">
      <c r="A29">
        <v>18</v>
      </c>
      <c r="B29" t="s">
        <v>21</v>
      </c>
      <c r="D29" s="17">
        <f>(1950.276+(135.5*55%)+(116.06*30%)-(223.66*24%))/(3179.746-120.66)*100</f>
        <v>65.57320062266965</v>
      </c>
      <c r="F29" s="24">
        <f>(1950.276+(135.5*61.78%)+(116.06*30%)-(223.66*12.4%))/(3179.746-120.66)*100</f>
        <v>66.72163057854536</v>
      </c>
      <c r="K29" s="25">
        <v>67.03</v>
      </c>
    </row>
    <row r="30" spans="1:11" ht="15">
      <c r="A30">
        <v>19</v>
      </c>
      <c r="B30" t="s">
        <v>22</v>
      </c>
      <c r="D30" s="17">
        <f>(328.111+(32.96*55%)+(34*30%)-(28.92*24%))/(542.361-31.04)*100</f>
        <v>68.35201370567607</v>
      </c>
      <c r="F30" s="24">
        <f>(328.111+(32.96*61.78%)+(34*30%)-(28.92*12.4%))/(542.361-31.04)*100</f>
        <v>69.44514463517048</v>
      </c>
      <c r="K30" s="25">
        <v>70.03</v>
      </c>
    </row>
    <row r="31" spans="4:11" ht="15">
      <c r="D31" s="17">
        <f>SUM(D12:D30)</f>
        <v>1267.7110607655943</v>
      </c>
      <c r="F31" s="24">
        <f>SUM(F12:F30)</f>
        <v>1289.3797856800406</v>
      </c>
      <c r="K31" s="25"/>
    </row>
    <row r="32" spans="4:11" ht="15">
      <c r="D32" s="18">
        <f>D31/19</f>
        <v>66.72163477713654</v>
      </c>
      <c r="F32" s="24">
        <f>F31/19</f>
        <v>67.86209398316004</v>
      </c>
      <c r="K32" s="25"/>
    </row>
    <row r="33" spans="6:11" ht="15">
      <c r="F33" s="24"/>
      <c r="K33" s="25"/>
    </row>
    <row r="34" spans="1:11" ht="15">
      <c r="A34">
        <v>20</v>
      </c>
      <c r="B34" s="13" t="s">
        <v>35</v>
      </c>
      <c r="D34" s="12"/>
      <c r="F34" s="24">
        <f>(2915.678+(163.76*61.78%)+(101.88*30%)-(306.98*12.4%))/(4288.048-136.66)*100</f>
        <v>72.49015047497367</v>
      </c>
      <c r="K34" s="25">
        <v>71.59</v>
      </c>
    </row>
    <row r="35" spans="1:11" ht="15">
      <c r="A35">
        <v>21</v>
      </c>
      <c r="B35" s="13" t="s">
        <v>36</v>
      </c>
      <c r="D35" s="12"/>
      <c r="F35" s="24">
        <f>(6284.417+(351.16*61.78%)+(489.42*30%)-(514.77*12.4%))/(9937.517-547.04)*100</f>
        <v>70.1173983813602</v>
      </c>
      <c r="K35" s="25">
        <v>70.2</v>
      </c>
    </row>
    <row r="39" ht="15">
      <c r="B39" s="16"/>
    </row>
  </sheetData>
  <sheetProtection/>
  <mergeCells count="2">
    <mergeCell ref="F6:F7"/>
    <mergeCell ref="C7:E7"/>
  </mergeCells>
  <printOptions/>
  <pageMargins left="0.7086614173228347" right="0.7086614173228347" top="0.3937007874015748" bottom="0.15748031496062992" header="0.31496062992125984" footer="0.1574803149606299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6.57421875" style="0" customWidth="1"/>
    <col min="3" max="3" width="12.421875" style="0" customWidth="1"/>
    <col min="4" max="4" width="9.8515625" style="0" bestFit="1" customWidth="1"/>
    <col min="5" max="5" width="13.28125" style="0" customWidth="1"/>
    <col min="6" max="6" width="4.8515625" style="0" customWidth="1"/>
    <col min="7" max="7" width="10.421875" style="0" customWidth="1"/>
    <col min="10" max="10" width="14.28125" style="0" customWidth="1"/>
    <col min="11" max="11" width="4.7109375" style="0" customWidth="1"/>
    <col min="12" max="12" width="9.57421875" style="0" bestFit="1" customWidth="1"/>
    <col min="14" max="14" width="9.57421875" style="0" bestFit="1" customWidth="1"/>
  </cols>
  <sheetData>
    <row r="1" ht="15.75">
      <c r="B1" s="4" t="s">
        <v>57</v>
      </c>
    </row>
    <row r="3" spans="3:6" ht="15">
      <c r="C3" s="14"/>
      <c r="D3" s="14"/>
      <c r="E3" s="14"/>
      <c r="F3" s="14"/>
    </row>
    <row r="4" spans="2:8" ht="21.75" customHeight="1">
      <c r="B4" t="s">
        <v>37</v>
      </c>
      <c r="C4" s="1" t="s">
        <v>42</v>
      </c>
      <c r="D4" s="1"/>
      <c r="E4" s="1"/>
      <c r="F4" s="14"/>
      <c r="G4" s="108" t="s">
        <v>38</v>
      </c>
      <c r="H4" s="14"/>
    </row>
    <row r="5" spans="3:7" ht="15">
      <c r="C5" s="109" t="s">
        <v>43</v>
      </c>
      <c r="D5" s="109"/>
      <c r="E5" s="109"/>
      <c r="F5" s="29"/>
      <c r="G5" s="108"/>
    </row>
    <row r="6" ht="15">
      <c r="B6" t="s">
        <v>4</v>
      </c>
    </row>
    <row r="8" spans="6:10" ht="15">
      <c r="F8" s="23"/>
      <c r="G8" s="31" t="s">
        <v>40</v>
      </c>
      <c r="H8" s="32"/>
      <c r="I8" s="32"/>
      <c r="J8" s="32"/>
    </row>
    <row r="9" spans="4:10" ht="15">
      <c r="D9" s="33"/>
      <c r="E9" s="34" t="s">
        <v>49</v>
      </c>
      <c r="F9" s="11"/>
      <c r="G9" s="32" t="s">
        <v>44</v>
      </c>
      <c r="H9" s="32"/>
      <c r="I9" s="32"/>
      <c r="J9" s="32"/>
    </row>
    <row r="10" spans="4:10" ht="15">
      <c r="D10" s="11"/>
      <c r="E10" s="34" t="s">
        <v>50</v>
      </c>
      <c r="F10" s="11"/>
      <c r="G10" s="32" t="s">
        <v>45</v>
      </c>
      <c r="H10" s="32"/>
      <c r="I10" s="32"/>
      <c r="J10" s="32"/>
    </row>
    <row r="11" spans="1:7" ht="15">
      <c r="A11">
        <v>1</v>
      </c>
      <c r="B11" t="s">
        <v>23</v>
      </c>
      <c r="D11" s="15"/>
      <c r="E11">
        <v>65.81</v>
      </c>
      <c r="F11" s="30"/>
      <c r="G11" s="37"/>
    </row>
    <row r="12" spans="1:7" ht="15">
      <c r="A12">
        <v>2</v>
      </c>
      <c r="B12" t="s">
        <v>5</v>
      </c>
      <c r="D12" s="15"/>
      <c r="E12">
        <v>70.11</v>
      </c>
      <c r="F12" s="30"/>
      <c r="G12" s="16"/>
    </row>
    <row r="13" spans="1:7" ht="15">
      <c r="A13">
        <v>3</v>
      </c>
      <c r="B13" t="s">
        <v>6</v>
      </c>
      <c r="D13" s="15"/>
      <c r="E13">
        <v>69.15</v>
      </c>
      <c r="F13" s="15"/>
      <c r="G13" s="16"/>
    </row>
    <row r="14" spans="1:7" ht="15">
      <c r="A14">
        <v>4</v>
      </c>
      <c r="B14" t="s">
        <v>7</v>
      </c>
      <c r="D14" s="15"/>
      <c r="E14">
        <v>70.84</v>
      </c>
      <c r="F14" s="15"/>
      <c r="G14" s="16"/>
    </row>
    <row r="15" spans="1:7" ht="15">
      <c r="A15">
        <v>5</v>
      </c>
      <c r="B15" t="s">
        <v>8</v>
      </c>
      <c r="D15" s="15"/>
      <c r="E15">
        <v>70.05</v>
      </c>
      <c r="F15" s="15"/>
      <c r="G15" s="16"/>
    </row>
    <row r="16" spans="1:7" ht="15">
      <c r="A16">
        <v>6</v>
      </c>
      <c r="B16" t="s">
        <v>9</v>
      </c>
      <c r="D16" s="15"/>
      <c r="E16">
        <v>68.71</v>
      </c>
      <c r="F16" s="15"/>
      <c r="G16" s="16"/>
    </row>
    <row r="17" spans="1:7" ht="15">
      <c r="A17">
        <v>7</v>
      </c>
      <c r="B17" t="s">
        <v>10</v>
      </c>
      <c r="D17" s="15"/>
      <c r="E17">
        <v>74.16</v>
      </c>
      <c r="F17" s="15"/>
      <c r="G17" s="16"/>
    </row>
    <row r="18" spans="1:7" ht="15">
      <c r="A18">
        <v>8</v>
      </c>
      <c r="B18" t="s">
        <v>11</v>
      </c>
      <c r="D18" s="15"/>
      <c r="E18">
        <v>50.05</v>
      </c>
      <c r="F18" s="15"/>
      <c r="G18" s="16"/>
    </row>
    <row r="19" spans="1:7" ht="15">
      <c r="A19">
        <v>9</v>
      </c>
      <c r="B19" t="s">
        <v>12</v>
      </c>
      <c r="D19" s="15"/>
      <c r="E19">
        <v>67.35</v>
      </c>
      <c r="F19" s="15"/>
      <c r="G19" s="16"/>
    </row>
    <row r="20" spans="1:7" ht="15">
      <c r="A20">
        <v>10</v>
      </c>
      <c r="B20" t="s">
        <v>13</v>
      </c>
      <c r="D20" s="15"/>
      <c r="E20">
        <v>68.02</v>
      </c>
      <c r="F20" s="15"/>
      <c r="G20" s="16"/>
    </row>
    <row r="21" spans="1:7" ht="15">
      <c r="A21">
        <v>11</v>
      </c>
      <c r="B21" t="s">
        <v>14</v>
      </c>
      <c r="D21" s="15"/>
      <c r="E21">
        <v>70.93</v>
      </c>
      <c r="F21" s="15"/>
      <c r="G21" s="16"/>
    </row>
    <row r="22" spans="1:7" ht="15">
      <c r="A22">
        <v>12</v>
      </c>
      <c r="B22" t="s">
        <v>15</v>
      </c>
      <c r="D22" s="15"/>
      <c r="E22">
        <v>72.54</v>
      </c>
      <c r="F22" s="15"/>
      <c r="G22" s="16"/>
    </row>
    <row r="23" spans="1:7" ht="15">
      <c r="A23">
        <v>13</v>
      </c>
      <c r="B23" t="s">
        <v>16</v>
      </c>
      <c r="D23" s="15"/>
      <c r="E23">
        <v>69.19</v>
      </c>
      <c r="F23" s="15"/>
      <c r="G23" s="16"/>
    </row>
    <row r="24" spans="1:7" ht="15">
      <c r="A24">
        <v>14</v>
      </c>
      <c r="B24" t="s">
        <v>17</v>
      </c>
      <c r="D24" s="15"/>
      <c r="E24">
        <v>70.84</v>
      </c>
      <c r="F24" s="15"/>
      <c r="G24" s="16"/>
    </row>
    <row r="25" spans="1:7" ht="15">
      <c r="A25">
        <v>15</v>
      </c>
      <c r="B25" t="s">
        <v>18</v>
      </c>
      <c r="D25" s="15"/>
      <c r="E25">
        <v>68.2</v>
      </c>
      <c r="F25" s="15"/>
      <c r="G25" s="16"/>
    </row>
    <row r="26" spans="1:7" ht="15">
      <c r="A26">
        <v>16</v>
      </c>
      <c r="B26" t="s">
        <v>19</v>
      </c>
      <c r="D26" s="15"/>
      <c r="E26">
        <v>68.69</v>
      </c>
      <c r="F26" s="15"/>
      <c r="G26" s="16"/>
    </row>
    <row r="27" spans="1:7" ht="15">
      <c r="A27">
        <v>17</v>
      </c>
      <c r="B27" t="s">
        <v>20</v>
      </c>
      <c r="D27" s="15"/>
      <c r="E27">
        <v>71.78</v>
      </c>
      <c r="F27" s="15"/>
      <c r="G27" s="16"/>
    </row>
    <row r="28" spans="1:7" ht="15">
      <c r="A28">
        <v>18</v>
      </c>
      <c r="B28" t="s">
        <v>21</v>
      </c>
      <c r="D28" s="15"/>
      <c r="E28">
        <v>68.23</v>
      </c>
      <c r="F28" s="15"/>
      <c r="G28" s="16"/>
    </row>
    <row r="29" spans="1:7" ht="15">
      <c r="A29">
        <v>19</v>
      </c>
      <c r="B29" t="s">
        <v>22</v>
      </c>
      <c r="D29" s="15"/>
      <c r="E29">
        <v>70.69</v>
      </c>
      <c r="F29" s="15"/>
      <c r="G29" s="16"/>
    </row>
    <row r="30" spans="1:7" ht="15">
      <c r="A30">
        <v>20</v>
      </c>
      <c r="B30" s="19" t="s">
        <v>35</v>
      </c>
      <c r="D30" s="15"/>
      <c r="E30">
        <v>71.65</v>
      </c>
      <c r="F30" s="15"/>
      <c r="G30" s="16"/>
    </row>
    <row r="31" spans="1:7" ht="15">
      <c r="A31">
        <v>21</v>
      </c>
      <c r="B31" s="19" t="s">
        <v>36</v>
      </c>
      <c r="D31" s="15"/>
      <c r="E31">
        <v>71.51</v>
      </c>
      <c r="F31" s="15"/>
      <c r="G31" s="36"/>
    </row>
    <row r="32" spans="1:7" ht="15">
      <c r="A32">
        <v>22</v>
      </c>
      <c r="B32" s="19" t="s">
        <v>51</v>
      </c>
      <c r="D32" s="15"/>
      <c r="E32">
        <v>71.05</v>
      </c>
      <c r="F32" s="15"/>
      <c r="G32" s="16"/>
    </row>
    <row r="33" spans="4:7" ht="15">
      <c r="D33" s="20"/>
      <c r="E33">
        <f>SUM(E11:E32)</f>
        <v>1519.5500000000002</v>
      </c>
      <c r="F33" s="20"/>
      <c r="G33" s="20"/>
    </row>
    <row r="34" spans="4:7" ht="15">
      <c r="D34" s="12"/>
      <c r="E34" s="12">
        <f>E33/22</f>
        <v>69.07045454545455</v>
      </c>
      <c r="F34" s="12"/>
      <c r="G34" s="12"/>
    </row>
    <row r="35" ht="15">
      <c r="E35" s="35" t="s">
        <v>47</v>
      </c>
    </row>
    <row r="36" spans="9:14" ht="15">
      <c r="I36" s="12"/>
      <c r="J36" s="12"/>
      <c r="L36" s="16"/>
      <c r="N36" s="16"/>
    </row>
    <row r="37" spans="10:14" ht="15">
      <c r="J37" s="12"/>
      <c r="L37" s="16"/>
      <c r="N37" s="16"/>
    </row>
    <row r="41" ht="15">
      <c r="B41" s="16"/>
    </row>
  </sheetData>
  <sheetProtection/>
  <mergeCells count="2">
    <mergeCell ref="G4:G5"/>
    <mergeCell ref="C5:E5"/>
  </mergeCells>
  <printOptions/>
  <pageMargins left="0.31" right="0.4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3.8515625" style="47" customWidth="1"/>
    <col min="3" max="3" width="11.00390625" style="0" customWidth="1"/>
    <col min="4" max="4" width="3.421875" style="0" customWidth="1"/>
    <col min="5" max="5" width="17.00390625" style="0" bestFit="1" customWidth="1"/>
    <col min="6" max="6" width="13.28125" style="0" customWidth="1"/>
    <col min="7" max="7" width="4.8515625" style="0" customWidth="1"/>
    <col min="8" max="8" width="15.140625" style="0" bestFit="1" customWidth="1"/>
    <col min="11" max="11" width="14.28125" style="0" customWidth="1"/>
    <col min="12" max="12" width="4.7109375" style="0" customWidth="1"/>
    <col min="13" max="13" width="9.57421875" style="0" bestFit="1" customWidth="1"/>
    <col min="15" max="15" width="9.57421875" style="0" bestFit="1" customWidth="1"/>
  </cols>
  <sheetData>
    <row r="1" ht="15.75">
      <c r="B1" s="4" t="s">
        <v>52</v>
      </c>
    </row>
    <row r="2" spans="2:9" ht="21.75" customHeight="1">
      <c r="B2" t="s">
        <v>37</v>
      </c>
      <c r="C2" s="1" t="s">
        <v>42</v>
      </c>
      <c r="D2" s="1"/>
      <c r="E2" s="1"/>
      <c r="F2" s="14"/>
      <c r="G2" s="14"/>
      <c r="H2" s="108" t="s">
        <v>38</v>
      </c>
      <c r="I2" s="14"/>
    </row>
    <row r="3" spans="3:8" ht="15">
      <c r="C3" s="109" t="s">
        <v>43</v>
      </c>
      <c r="D3" s="109"/>
      <c r="E3" s="109"/>
      <c r="F3" s="29"/>
      <c r="G3" s="29"/>
      <c r="H3" s="108"/>
    </row>
    <row r="4" ht="15">
      <c r="B4" t="s">
        <v>4</v>
      </c>
    </row>
    <row r="5" spans="10:13" ht="15">
      <c r="J5" s="38" t="s">
        <v>40</v>
      </c>
      <c r="K5" s="39"/>
      <c r="L5" s="39"/>
      <c r="M5" s="39"/>
    </row>
    <row r="6" spans="4:13" ht="15">
      <c r="D6" s="33"/>
      <c r="E6" s="40" t="s">
        <v>49</v>
      </c>
      <c r="F6" s="34" t="s">
        <v>49</v>
      </c>
      <c r="G6" s="11"/>
      <c r="H6" s="34" t="s">
        <v>49</v>
      </c>
      <c r="J6" s="39" t="s">
        <v>53</v>
      </c>
      <c r="K6" s="39"/>
      <c r="L6" s="39"/>
      <c r="M6" s="39"/>
    </row>
    <row r="7" spans="4:13" ht="15">
      <c r="D7" s="11"/>
      <c r="E7" s="40" t="s">
        <v>50</v>
      </c>
      <c r="F7" s="34" t="s">
        <v>50</v>
      </c>
      <c r="G7" s="11"/>
      <c r="H7" s="34" t="s">
        <v>56</v>
      </c>
      <c r="J7" s="39" t="s">
        <v>54</v>
      </c>
      <c r="K7" s="39"/>
      <c r="L7" s="39"/>
      <c r="M7" s="39"/>
    </row>
    <row r="8" spans="1:10" ht="15">
      <c r="A8" s="47">
        <v>1</v>
      </c>
      <c r="B8" t="s">
        <v>23</v>
      </c>
      <c r="D8" s="15"/>
      <c r="E8" s="42">
        <f>(325.659+(6.96*55%)+(42.66*30%)-(44.6*24%))/(517.339)*100</f>
        <v>64.09356340813275</v>
      </c>
      <c r="F8" s="44">
        <v>65.4</v>
      </c>
      <c r="G8" s="30"/>
      <c r="H8" s="2">
        <v>74.6</v>
      </c>
      <c r="J8" s="37">
        <f>(325.659+(6.96*60.74%)+(42.66*30%)-(44.6*9.08%))/(517.339)*100</f>
        <v>65.45704538030188</v>
      </c>
    </row>
    <row r="9" spans="1:10" ht="15">
      <c r="A9" s="47">
        <v>2</v>
      </c>
      <c r="B9" t="s">
        <v>5</v>
      </c>
      <c r="D9" s="15"/>
      <c r="E9" s="42">
        <f>(6350.862+(874.96*55%)+(340.18*30%)-(777.66*24%))/(10128.132-294.88-0.96)*100</f>
        <v>68.62596839068652</v>
      </c>
      <c r="F9" s="44">
        <v>69.8</v>
      </c>
      <c r="G9" s="30"/>
      <c r="H9" s="2">
        <v>77.2</v>
      </c>
      <c r="J9" s="37">
        <f>(6350.862+(874.96*60.74%)+(340.18*30%)-(777.66*9.08%))/(10128.132-294.88-0.96)*100</f>
        <v>70.31682110336021</v>
      </c>
    </row>
    <row r="10" spans="1:12" ht="15">
      <c r="A10" s="47">
        <v>3</v>
      </c>
      <c r="B10" t="s">
        <v>6</v>
      </c>
      <c r="D10" s="15"/>
      <c r="E10" s="42">
        <f>(1576.987+(256.74*55%)+(127.002*30%)-(200.447*24%))/(2638.983-93.764)*100</f>
        <v>67.1135694020829</v>
      </c>
      <c r="F10" s="44">
        <v>68.3</v>
      </c>
      <c r="G10" s="15"/>
      <c r="H10" s="2">
        <v>77.6</v>
      </c>
      <c r="J10" s="37">
        <f>(1576.987+(256.74*60.74%)+(127.002*30%)-(200.447*9.08%))/(2638.983-93.764)*100</f>
        <v>68.86758618413582</v>
      </c>
      <c r="L10" s="16"/>
    </row>
    <row r="11" spans="1:10" ht="15">
      <c r="A11" s="47">
        <v>4</v>
      </c>
      <c r="B11" t="s">
        <v>7</v>
      </c>
      <c r="D11" s="15"/>
      <c r="E11" s="42">
        <f>((932.381-71.08)+(19.74*55%)+(71.08*30%)-(82.74*24%))/(1295.641-61.27)*100</f>
        <v>70.77486428310449</v>
      </c>
      <c r="F11" s="44">
        <v>71.8</v>
      </c>
      <c r="G11" s="15"/>
      <c r="H11" s="2">
        <v>80.6</v>
      </c>
      <c r="J11" s="37">
        <f>(861.301+(19.74*60.74%)+(71.08*30%)-(82.74*9.08%))/(1295.641-61.27)*100</f>
        <v>71.86674703148405</v>
      </c>
    </row>
    <row r="12" spans="1:10" ht="15">
      <c r="A12" s="47">
        <v>5</v>
      </c>
      <c r="B12" t="s">
        <v>8</v>
      </c>
      <c r="D12" s="15"/>
      <c r="E12" s="42">
        <f>(1321.614+(192.84*55%)+(134.46*30%)-(156.88*24%))/(2273.614-140.66)*100</f>
        <v>67.06018038832528</v>
      </c>
      <c r="F12" s="44">
        <v>68.2</v>
      </c>
      <c r="G12" s="15"/>
      <c r="H12" s="2">
        <v>80.5</v>
      </c>
      <c r="J12" s="37">
        <f>(1321.614+(192.84*60.74%)+(134.46*30%)-(156.88*9.08%))/(2273.614-140.66)*100</f>
        <v>68.67650741647499</v>
      </c>
    </row>
    <row r="13" spans="1:10" ht="15">
      <c r="A13" s="47">
        <v>6</v>
      </c>
      <c r="B13" t="s">
        <v>9</v>
      </c>
      <c r="D13" s="15"/>
      <c r="E13" s="42">
        <f>(2360.631+(339.22*55%)+(160.62*30%)-(312.26*24%))/(4043.941-250.18)*100</f>
        <v>66.43659418714041</v>
      </c>
      <c r="F13" s="44">
        <v>67.7</v>
      </c>
      <c r="G13" s="15"/>
      <c r="H13" s="2">
        <v>78.8</v>
      </c>
      <c r="J13" s="37">
        <f>(2360.631+(339.22*60.74%)+(160.62*30%)-(312.26*9.08%))/(4043.941-250.18)*100</f>
        <v>68.17788521733445</v>
      </c>
    </row>
    <row r="14" spans="1:10" ht="15">
      <c r="A14" s="47">
        <v>7</v>
      </c>
      <c r="B14" t="s">
        <v>10</v>
      </c>
      <c r="D14" s="15"/>
      <c r="E14" s="42">
        <f>(2830.067+(256.94*55%)+(207.81*30%)-(277.26*24%))/(4282.867-168.28)*100</f>
        <v>72.11378930619281</v>
      </c>
      <c r="F14" s="44">
        <v>73.1</v>
      </c>
      <c r="G14" s="15"/>
      <c r="H14" s="2">
        <v>81</v>
      </c>
      <c r="J14" s="37">
        <f>(2830.067+(256.94*60.74%)+(207.81*30%)-(277.26*9.08%))/(4282.867-168.28)*100</f>
        <v>73.47760900425729</v>
      </c>
    </row>
    <row r="15" spans="1:10" ht="15">
      <c r="A15" s="47">
        <v>8</v>
      </c>
      <c r="B15" t="s">
        <v>11</v>
      </c>
      <c r="D15" s="15"/>
      <c r="E15" s="42">
        <f>(196.417+(0*55%)+(20.3*30%)-(30.58*24%))/(431.617-0)*100</f>
        <v>45.21782042875975</v>
      </c>
      <c r="F15" s="44">
        <v>46.3</v>
      </c>
      <c r="G15" s="15"/>
      <c r="H15" s="2">
        <v>50.2</v>
      </c>
      <c r="J15" s="37">
        <f>(196.417+(0*55%)+(20.3*30%)-(30.58*9.08%))/(431.617-0)*100</f>
        <v>46.27490020087253</v>
      </c>
    </row>
    <row r="16" spans="1:10" ht="15">
      <c r="A16" s="47">
        <v>9</v>
      </c>
      <c r="B16" t="s">
        <v>12</v>
      </c>
      <c r="D16" s="15"/>
      <c r="E16" s="42">
        <f>(780.841+(55.32*55%)+(90.22*30%)-(78.5*24%))/(1297.711-64.4)*100</f>
        <v>66.44658160026142</v>
      </c>
      <c r="F16" s="44">
        <v>67.4</v>
      </c>
      <c r="G16" s="15"/>
      <c r="H16" s="2">
        <v>77.1</v>
      </c>
      <c r="J16" s="37">
        <f>(780.841+(55.32*60.74%)+(90.22*30%)-(78.5*9.08%))/(1297.711-64.4)*100</f>
        <v>67.65370356706461</v>
      </c>
    </row>
    <row r="17" spans="1:10" ht="15">
      <c r="A17" s="47">
        <v>10</v>
      </c>
      <c r="B17" t="s">
        <v>13</v>
      </c>
      <c r="D17" s="15"/>
      <c r="E17" s="42">
        <f>(1571.273+(127.66*55%)+(142.46*30%)-(178.9*24%))/(2680.853-195.24)*100</f>
        <v>66.03151818082702</v>
      </c>
      <c r="F17" s="44">
        <v>67.1</v>
      </c>
      <c r="G17" s="15"/>
      <c r="H17" s="2">
        <v>75.2</v>
      </c>
      <c r="J17" s="37">
        <f>(1571.273+(127.66*60.74%)+(142.46*30%)-(178.9*9.08%))/(2680.853-195.24)*100</f>
        <v>67.40017709917029</v>
      </c>
    </row>
    <row r="18" spans="1:10" ht="15">
      <c r="A18" s="47">
        <v>11</v>
      </c>
      <c r="B18" t="s">
        <v>14</v>
      </c>
      <c r="D18" s="15"/>
      <c r="E18" s="42">
        <f>(5954.08+(894.76*55%)+(604.258*30%)-(635.573*24%))/(10159.644-745.106)*100</f>
        <v>68.77594928184475</v>
      </c>
      <c r="F18" s="44">
        <v>69.8</v>
      </c>
      <c r="G18" s="15"/>
      <c r="H18" s="2">
        <v>80.2</v>
      </c>
      <c r="J18" s="37">
        <f>(5954.08+(894.76*60.74%)+(604.258*30%)-(635.573*9.08%))/(10159.644-745.106)*100</f>
        <v>70.3287255901458</v>
      </c>
    </row>
    <row r="19" spans="1:10" ht="15">
      <c r="A19" s="47">
        <v>12</v>
      </c>
      <c r="B19" t="s">
        <v>15</v>
      </c>
      <c r="D19" s="15"/>
      <c r="E19" s="42">
        <f>(589.931+(47.56*55%)+(78.16*30%)-(53.78*24%))/(972.381-74.3)*100</f>
        <v>69.77430766267186</v>
      </c>
      <c r="F19" s="44">
        <v>70.7</v>
      </c>
      <c r="G19" s="15"/>
      <c r="H19" s="2">
        <v>82</v>
      </c>
      <c r="J19" s="37">
        <f>(589.931+(47.56*60.74%)+(78.16*30%)-(53.78*9.08%))/(972.381-74.3)*100</f>
        <v>70.97174085633702</v>
      </c>
    </row>
    <row r="20" spans="1:10" ht="15">
      <c r="A20" s="47">
        <v>13</v>
      </c>
      <c r="B20" t="s">
        <v>16</v>
      </c>
      <c r="D20" s="15"/>
      <c r="E20" s="42">
        <f>(727.012+(47.14*55%)+(99.5*30%)-(90.42*24%))/(1198.002-75.66-0.13)*100</f>
        <v>67.82035836366036</v>
      </c>
      <c r="F20" s="44">
        <v>69.1</v>
      </c>
      <c r="G20" s="15"/>
      <c r="H20" s="2">
        <v>79.9</v>
      </c>
      <c r="J20" s="37">
        <f>(727.012+(47.14*60.74%)+(99.5*30%)-(90.42*9.08%))/(1198.002-75.66-0.13)*100</f>
        <v>69.26362398548581</v>
      </c>
    </row>
    <row r="21" spans="1:10" ht="15">
      <c r="A21" s="47">
        <v>14</v>
      </c>
      <c r="B21" t="s">
        <v>17</v>
      </c>
      <c r="D21" s="15"/>
      <c r="E21" s="42">
        <f>(187.864+(0*55%)+(22.74*30%)-(29.1*24%))/(281.214)*100</f>
        <v>66.74703250905004</v>
      </c>
      <c r="F21" s="44">
        <v>68.3</v>
      </c>
      <c r="G21" s="15"/>
      <c r="H21" s="2">
        <v>74.9</v>
      </c>
      <c r="J21" s="37">
        <f>(187.864+(0*55%)+(22.74*30%)-(29.1*9.08%))/(281.214)*100</f>
        <v>68.29095279751364</v>
      </c>
    </row>
    <row r="22" spans="1:10" ht="15">
      <c r="A22" s="47">
        <v>15</v>
      </c>
      <c r="B22" t="s">
        <v>18</v>
      </c>
      <c r="D22" s="15"/>
      <c r="E22" s="42">
        <f>(1350.524+(120.82*55%)+(119.1*30%)-(122.58*24%))/(2268.024-169.18)*100</f>
        <v>67.81284364154743</v>
      </c>
      <c r="F22" s="44">
        <v>68.7</v>
      </c>
      <c r="G22" s="15"/>
      <c r="H22" s="2">
        <v>79.9</v>
      </c>
      <c r="J22" s="37">
        <f>(1350.524+(120.82*60.74%)+(119.1*30%)-(122.58*9.08%))/(2268.024-169.18)*100</f>
        <v>69.01464825399124</v>
      </c>
    </row>
    <row r="23" spans="1:10" ht="15">
      <c r="A23" s="47">
        <v>16</v>
      </c>
      <c r="B23" t="s">
        <v>19</v>
      </c>
      <c r="D23" s="15"/>
      <c r="E23" s="42">
        <f>(290.051+(5.38*55%)+(13.94*30%)-(36.2*24%))/(431.591)*100</f>
        <v>66.84662099070648</v>
      </c>
      <c r="F23" s="44">
        <v>68.1</v>
      </c>
      <c r="G23" s="15"/>
      <c r="H23" s="2">
        <v>72.6</v>
      </c>
      <c r="J23" s="37">
        <f>(290.051+(5.38*60.74%)+(13.94*30%)-(36.2*9.08%))/(431.591)*100</f>
        <v>68.16959853194344</v>
      </c>
    </row>
    <row r="24" spans="1:10" ht="15">
      <c r="A24" s="47">
        <v>17</v>
      </c>
      <c r="B24" t="s">
        <v>20</v>
      </c>
      <c r="D24" s="15"/>
      <c r="E24" s="42">
        <f>(1785.47+(185.36*55%)+(105.26*30%)-(187.3*24%))/(2753.05-96.26)*100</f>
        <v>70.53790476477253</v>
      </c>
      <c r="F24" s="44">
        <v>67.8</v>
      </c>
      <c r="G24" s="15"/>
      <c r="H24" s="2">
        <v>72.3</v>
      </c>
      <c r="J24" s="37">
        <f>(1785.47+(185.36*60.74%)+(105.26*30%)-(187.3*9.08%))/(2753.05-96.26)*100</f>
        <v>71.99021465753785</v>
      </c>
    </row>
    <row r="25" spans="1:10" ht="15">
      <c r="A25" s="47">
        <v>18</v>
      </c>
      <c r="B25" t="s">
        <v>21</v>
      </c>
      <c r="D25" s="15"/>
      <c r="E25" s="42">
        <f>(2024.508+(250.44*55%)+(120.02*30%)-(245.34*24%))/(3358.158-118)*100</f>
        <v>66.02685424599663</v>
      </c>
      <c r="F25" s="44">
        <v>67.2</v>
      </c>
      <c r="G25" s="15"/>
      <c r="H25" s="2">
        <v>75.8</v>
      </c>
      <c r="J25" s="37">
        <f>(2024.508+(250.44*60.74%)+(120.02*30%)-(245.34*9.08%))/(3358.158-118)*100</f>
        <v>67.60023381575837</v>
      </c>
    </row>
    <row r="26" spans="1:10" ht="15">
      <c r="A26" s="47">
        <v>19</v>
      </c>
      <c r="B26" t="s">
        <v>22</v>
      </c>
      <c r="D26" s="15"/>
      <c r="E26" s="42">
        <f>(337.924+(41.16*55%)+(26.86*30%)-(34.08*24%))/(563.134-33.26)*100</f>
        <v>68.02386982565666</v>
      </c>
      <c r="F26" s="44">
        <v>69</v>
      </c>
      <c r="G26" s="15"/>
      <c r="H26" s="2">
        <v>78.1</v>
      </c>
      <c r="J26" s="37">
        <f>(337.924+(41.16*60.74%)+(26.86*30%)-(34.08*9.08%))/(563.134-33.26)*100</f>
        <v>69.42935867772337</v>
      </c>
    </row>
    <row r="27" spans="1:10" ht="15">
      <c r="A27" s="47">
        <v>20</v>
      </c>
      <c r="B27" s="19" t="s">
        <v>35</v>
      </c>
      <c r="D27" s="15"/>
      <c r="E27" s="42">
        <f>(2929.776+(180.82*55%)+(132.74*30%)-(361.36*24%))/(4447.616-195.82-6.82)*100</f>
        <v>70.25534655555178</v>
      </c>
      <c r="F27" s="44">
        <v>71.5</v>
      </c>
      <c r="G27" s="15"/>
      <c r="H27" s="2">
        <v>77.9</v>
      </c>
      <c r="J27" s="37">
        <f>(2929.776+(180.82*60.74%)+(132.74*30%)-(361.36*9.08%))/(4447.616-195.82-6.82)*100</f>
        <v>71.76993650847496</v>
      </c>
    </row>
    <row r="28" spans="1:10" ht="15">
      <c r="A28" s="47">
        <v>21</v>
      </c>
      <c r="B28" s="19" t="s">
        <v>36</v>
      </c>
      <c r="D28" s="15"/>
      <c r="E28" s="42">
        <f>(6330.071+(366.9*55%)+(506.2*30%)-(534.1*24%))/(9945.141-525.52)*100</f>
        <v>69.59454101178805</v>
      </c>
      <c r="F28" s="44">
        <v>71.4</v>
      </c>
      <c r="G28" s="15"/>
      <c r="H28" s="2">
        <v>79.3</v>
      </c>
      <c r="J28" s="37">
        <f>(6330.071+(366.9*60.74%)+(506.2*30%)-(534.1*9.08%))/(9945.141-525.52)*100</f>
        <v>70.6640933854982</v>
      </c>
    </row>
    <row r="29" spans="1:10" ht="15">
      <c r="A29" s="47">
        <v>22</v>
      </c>
      <c r="B29" s="19" t="s">
        <v>51</v>
      </c>
      <c r="D29" s="15"/>
      <c r="E29" s="42">
        <f>(141.85+(0*55%)+(1.465*30%)-(28.54*24%))/(201.97-0.335)*100</f>
        <v>67.1708284771989</v>
      </c>
      <c r="F29" s="44">
        <v>69.2</v>
      </c>
      <c r="G29" s="15"/>
      <c r="H29" s="2">
        <v>71.2</v>
      </c>
      <c r="J29" s="37">
        <f>(141.85+(0*55%)+(1.465*30%)-(28.54*9.08%))/(201.97-0.335)*100</f>
        <v>69.28264834974087</v>
      </c>
    </row>
    <row r="30" spans="4:10" ht="15">
      <c r="D30" s="20"/>
      <c r="E30" s="42">
        <f>SUM(E8:E29)</f>
        <v>1473.300906905959</v>
      </c>
      <c r="F30" s="45">
        <f>SUM(F8:F29)</f>
        <v>1495.9</v>
      </c>
      <c r="G30" s="16"/>
      <c r="H30" s="45">
        <f>SUM(H8:H29)</f>
        <v>1676.9</v>
      </c>
      <c r="J30" s="37">
        <f>SUM(J8:J29)</f>
        <v>1504.9447576146065</v>
      </c>
    </row>
    <row r="31" spans="4:10" ht="15.75" thickBot="1">
      <c r="D31" s="12"/>
      <c r="E31" s="43">
        <f>E30/22</f>
        <v>66.96822304117995</v>
      </c>
      <c r="F31" s="45">
        <f>F30/22</f>
        <v>67.99545454545455</v>
      </c>
      <c r="G31" s="46"/>
      <c r="H31" s="45">
        <f>H30/22</f>
        <v>76.22272727272728</v>
      </c>
      <c r="J31" s="12">
        <f>J30/21</f>
        <v>71.66403607688602</v>
      </c>
    </row>
    <row r="32" spans="5:15" ht="15.75" thickBot="1">
      <c r="E32" t="s">
        <v>55</v>
      </c>
      <c r="F32" s="41" t="s">
        <v>47</v>
      </c>
      <c r="H32" s="41" t="s">
        <v>47</v>
      </c>
      <c r="J32" s="12"/>
      <c r="K32" s="12"/>
      <c r="M32" s="16"/>
      <c r="O32" s="16"/>
    </row>
    <row r="33" spans="11:15" ht="15">
      <c r="K33" s="12"/>
      <c r="M33" s="16"/>
      <c r="O33" s="16"/>
    </row>
    <row r="34" ht="15">
      <c r="E34" s="42"/>
    </row>
    <row r="35" ht="15">
      <c r="E35" s="42"/>
    </row>
    <row r="37" spans="2:5" ht="15">
      <c r="B37" s="16"/>
      <c r="E37" s="42"/>
    </row>
  </sheetData>
  <sheetProtection/>
  <mergeCells count="2">
    <mergeCell ref="H2:H3"/>
    <mergeCell ref="C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3.8515625" style="47" customWidth="1"/>
    <col min="3" max="3" width="11.00390625" style="0" customWidth="1"/>
    <col min="4" max="4" width="3.421875" style="0" customWidth="1"/>
    <col min="5" max="5" width="13.28125" style="0" customWidth="1"/>
    <col min="6" max="6" width="6.7109375" style="0" customWidth="1"/>
    <col min="7" max="7" width="15.140625" style="0" bestFit="1" customWidth="1"/>
    <col min="8" max="8" width="15.140625" style="0" customWidth="1"/>
    <col min="9" max="9" width="6.421875" style="0" customWidth="1"/>
    <col min="11" max="11" width="14.28125" style="0" customWidth="1"/>
    <col min="12" max="12" width="4.7109375" style="0" customWidth="1"/>
    <col min="13" max="13" width="9.57421875" style="0" bestFit="1" customWidth="1"/>
    <col min="15" max="15" width="6.8515625" style="0" customWidth="1"/>
  </cols>
  <sheetData>
    <row r="1" spans="9:15" ht="15">
      <c r="I1" s="54" t="s">
        <v>37</v>
      </c>
      <c r="J1" s="55" t="s">
        <v>62</v>
      </c>
      <c r="K1" s="55"/>
      <c r="L1" s="55"/>
      <c r="M1" s="56"/>
      <c r="N1" s="57" t="s">
        <v>63</v>
      </c>
      <c r="O1" s="57"/>
    </row>
    <row r="2" spans="9:15" ht="15">
      <c r="I2" s="54"/>
      <c r="J2" s="111" t="s">
        <v>59</v>
      </c>
      <c r="K2" s="111"/>
      <c r="L2" s="111"/>
      <c r="M2" s="58"/>
      <c r="N2" s="57"/>
      <c r="O2" s="57"/>
    </row>
    <row r="3" spans="9:15" ht="15">
      <c r="I3" s="57"/>
      <c r="J3" s="57"/>
      <c r="K3" s="57"/>
      <c r="L3" s="57"/>
      <c r="M3" s="57"/>
      <c r="N3" s="57"/>
      <c r="O3" s="57"/>
    </row>
    <row r="4" spans="2:15" ht="15.75">
      <c r="B4" s="4" t="s">
        <v>58</v>
      </c>
      <c r="I4" s="59" t="s">
        <v>64</v>
      </c>
      <c r="J4" s="60"/>
      <c r="K4" s="60"/>
      <c r="L4" s="60"/>
      <c r="M4" s="60"/>
      <c r="N4" s="60"/>
      <c r="O4" s="60"/>
    </row>
    <row r="5" spans="2:16" ht="21.75" customHeight="1">
      <c r="B5" s="5" t="s">
        <v>37</v>
      </c>
      <c r="C5" s="49" t="s">
        <v>42</v>
      </c>
      <c r="D5" s="49"/>
      <c r="E5" s="50"/>
      <c r="F5" s="14"/>
      <c r="G5" s="108" t="s">
        <v>38</v>
      </c>
      <c r="H5" s="52"/>
      <c r="I5" s="60" t="s">
        <v>66</v>
      </c>
      <c r="J5" s="61"/>
      <c r="K5" s="61"/>
      <c r="L5" s="61"/>
      <c r="M5" s="61"/>
      <c r="N5" s="61"/>
      <c r="O5" s="61"/>
      <c r="P5" s="48"/>
    </row>
    <row r="6" spans="2:15" ht="15">
      <c r="B6" s="5"/>
      <c r="C6" s="110" t="s">
        <v>59</v>
      </c>
      <c r="D6" s="110"/>
      <c r="E6" s="51"/>
      <c r="F6" s="29"/>
      <c r="G6" s="108"/>
      <c r="H6" s="52"/>
      <c r="I6" s="57" t="s">
        <v>67</v>
      </c>
      <c r="J6" s="57"/>
      <c r="K6" s="57"/>
      <c r="L6" s="57"/>
      <c r="M6" s="57"/>
      <c r="N6" s="57"/>
      <c r="O6" s="57"/>
    </row>
    <row r="7" spans="2:15" ht="15">
      <c r="B7" s="5" t="s">
        <v>4</v>
      </c>
      <c r="C7" s="5"/>
      <c r="D7" s="5"/>
      <c r="E7" s="5"/>
      <c r="I7" s="57" t="s">
        <v>65</v>
      </c>
      <c r="J7" s="57"/>
      <c r="K7" s="57"/>
      <c r="L7" s="57"/>
      <c r="M7" s="57"/>
      <c r="N7" s="57"/>
      <c r="O7" s="57"/>
    </row>
    <row r="8" spans="8:15" ht="15">
      <c r="H8" s="23"/>
      <c r="I8" s="57"/>
      <c r="J8" s="62" t="s">
        <v>40</v>
      </c>
      <c r="K8" s="63"/>
      <c r="L8" s="63"/>
      <c r="M8" s="63"/>
      <c r="N8" s="57"/>
      <c r="O8" s="57"/>
    </row>
    <row r="9" spans="4:15" ht="15">
      <c r="D9" s="33"/>
      <c r="E9" s="34" t="s">
        <v>49</v>
      </c>
      <c r="F9" s="11"/>
      <c r="G9" s="34" t="s">
        <v>49</v>
      </c>
      <c r="H9" s="28"/>
      <c r="I9" s="57"/>
      <c r="J9" s="63" t="s">
        <v>61</v>
      </c>
      <c r="K9" s="63"/>
      <c r="L9" s="63"/>
      <c r="M9" s="63"/>
      <c r="N9" s="57"/>
      <c r="O9" s="57"/>
    </row>
    <row r="10" spans="4:15" ht="15">
      <c r="D10" s="11"/>
      <c r="E10" s="34" t="s">
        <v>50</v>
      </c>
      <c r="F10" s="11"/>
      <c r="G10" s="34" t="s">
        <v>56</v>
      </c>
      <c r="H10" s="73"/>
      <c r="I10" s="75"/>
      <c r="J10" s="63" t="s">
        <v>60</v>
      </c>
      <c r="K10" s="63"/>
      <c r="L10" s="63"/>
      <c r="M10" s="63"/>
      <c r="N10" s="57"/>
      <c r="O10" s="57"/>
    </row>
    <row r="11" spans="1:17" ht="15">
      <c r="A11" s="47">
        <v>1</v>
      </c>
      <c r="B11" t="s">
        <v>23</v>
      </c>
      <c r="D11" s="15"/>
      <c r="E11" s="76">
        <v>67.8</v>
      </c>
      <c r="F11" s="70"/>
      <c r="G11" s="68">
        <v>74.4</v>
      </c>
      <c r="H11" s="74"/>
      <c r="I11" s="75"/>
      <c r="J11" s="69">
        <f>(304.14+(4.36*83%)+(44.38*30%)+(45.82*90.77%))/(535.606)*100</f>
        <v>67.7108945754902</v>
      </c>
      <c r="K11" s="57"/>
      <c r="L11" s="57"/>
      <c r="M11" s="57"/>
      <c r="N11" s="57"/>
      <c r="O11" s="57"/>
      <c r="Q11" s="67"/>
    </row>
    <row r="12" spans="1:15" ht="15">
      <c r="A12" s="47">
        <v>2</v>
      </c>
      <c r="B12" t="s">
        <v>5</v>
      </c>
      <c r="D12" s="15"/>
      <c r="E12" s="76">
        <v>73.3</v>
      </c>
      <c r="F12" s="70"/>
      <c r="G12" s="68">
        <v>77.6</v>
      </c>
      <c r="H12" s="29"/>
      <c r="I12" s="75"/>
      <c r="J12" s="69">
        <f>(5609.2+(1004.13*83%)+(364.3*30%)+(819.74*90.77%))/(10448.784-319.05)*100</f>
        <v>72.02554280299955</v>
      </c>
      <c r="K12" s="57"/>
      <c r="L12" s="57"/>
      <c r="M12" s="57"/>
      <c r="N12" s="57"/>
      <c r="O12" s="57"/>
    </row>
    <row r="13" spans="1:15" ht="15">
      <c r="A13" s="47">
        <v>3</v>
      </c>
      <c r="B13" t="s">
        <v>6</v>
      </c>
      <c r="D13" s="15"/>
      <c r="E13" s="76">
        <v>72.3</v>
      </c>
      <c r="F13" s="71"/>
      <c r="G13" s="68">
        <v>77.7</v>
      </c>
      <c r="H13" s="29"/>
      <c r="I13" s="75"/>
      <c r="J13" s="69">
        <f>(1384.783+(220.64*83%)+(125.565*30%)+(208.31*90.77%))/(2617.315-94.196)*100</f>
        <v>71.12889590225431</v>
      </c>
      <c r="K13" s="57"/>
      <c r="L13" s="65"/>
      <c r="M13" s="57"/>
      <c r="N13" s="57"/>
      <c r="O13" s="57"/>
    </row>
    <row r="14" spans="1:15" ht="15">
      <c r="A14" s="47">
        <v>4</v>
      </c>
      <c r="B14" t="s">
        <v>7</v>
      </c>
      <c r="D14" s="15"/>
      <c r="E14" s="76">
        <v>73.1</v>
      </c>
      <c r="F14" s="71"/>
      <c r="G14" s="68">
        <v>79.4</v>
      </c>
      <c r="H14" s="29"/>
      <c r="I14" s="75"/>
      <c r="J14" s="69">
        <f>(827.685+(31.38*83%)+(88*30%)+(86.92*90.77%))/(1416.085-99)*100</f>
        <v>72.81441091501307</v>
      </c>
      <c r="K14" s="57"/>
      <c r="L14" s="57"/>
      <c r="M14" s="57"/>
      <c r="N14" s="57"/>
      <c r="O14" s="57"/>
    </row>
    <row r="15" spans="1:15" ht="15">
      <c r="A15" s="47">
        <v>5</v>
      </c>
      <c r="B15" t="s">
        <v>8</v>
      </c>
      <c r="D15" s="15"/>
      <c r="E15" s="77">
        <v>72</v>
      </c>
      <c r="F15" s="71"/>
      <c r="G15" s="68">
        <v>78.8</v>
      </c>
      <c r="H15" s="29"/>
      <c r="I15" s="75"/>
      <c r="J15" s="69">
        <f>(1200.58+(176.11*83%)+(152.12*30%)+(165.76*90.77%))/(2298.353-121.88)*100</f>
        <v>70.88751627059008</v>
      </c>
      <c r="K15" s="57"/>
      <c r="L15" s="57"/>
      <c r="M15" s="57"/>
      <c r="N15" s="57"/>
      <c r="O15" s="57"/>
    </row>
    <row r="16" spans="1:15" ht="15">
      <c r="A16" s="47">
        <v>6</v>
      </c>
      <c r="B16" t="s">
        <v>9</v>
      </c>
      <c r="D16" s="15"/>
      <c r="E16" s="77">
        <v>72.3</v>
      </c>
      <c r="F16" s="71"/>
      <c r="G16" s="68">
        <v>77.6</v>
      </c>
      <c r="H16" s="29"/>
      <c r="I16" s="75"/>
      <c r="J16" s="69">
        <f>(2144.54+(335.08*83%)+(177.82*30%)+(329.02*90.77%))/(4139.481-238.16)*100</f>
        <v>71.12088069656406</v>
      </c>
      <c r="K16" s="57"/>
      <c r="L16" s="57"/>
      <c r="M16" s="57"/>
      <c r="N16" s="57"/>
      <c r="O16" s="57"/>
    </row>
    <row r="17" spans="1:15" ht="15">
      <c r="A17" s="47">
        <v>7</v>
      </c>
      <c r="B17" t="s">
        <v>10</v>
      </c>
      <c r="D17" s="15"/>
      <c r="E17" s="77">
        <v>75.3</v>
      </c>
      <c r="F17" s="71"/>
      <c r="G17" s="68">
        <v>80.3</v>
      </c>
      <c r="H17" s="29"/>
      <c r="I17" s="75"/>
      <c r="J17" s="69">
        <f>(2525.819+(233.66*83%)+(192.26*30%)+(287.98*90.77%))/(4239.976-164.42)*100</f>
        <v>74.56244610551298</v>
      </c>
      <c r="K17" s="57"/>
      <c r="L17" s="57"/>
      <c r="M17" s="57"/>
      <c r="N17" s="57"/>
      <c r="O17" s="57"/>
    </row>
    <row r="18" spans="1:15" ht="15">
      <c r="A18" s="47">
        <v>8</v>
      </c>
      <c r="B18" t="s">
        <v>11</v>
      </c>
      <c r="D18" s="15"/>
      <c r="E18" s="77">
        <v>55.2</v>
      </c>
      <c r="F18" s="71"/>
      <c r="G18" s="68">
        <v>59.9</v>
      </c>
      <c r="H18" s="29"/>
      <c r="I18" s="75"/>
      <c r="J18" s="69">
        <f>(179.406+(0*83%)+(21.62*30%)+(35.6*90.77%))/(395.246)*100</f>
        <v>55.20767319593367</v>
      </c>
      <c r="K18" s="57"/>
      <c r="L18" s="57"/>
      <c r="M18" s="57"/>
      <c r="N18" s="57"/>
      <c r="O18" s="57"/>
    </row>
    <row r="19" spans="1:15" ht="15">
      <c r="A19" s="47">
        <v>9</v>
      </c>
      <c r="B19" t="s">
        <v>12</v>
      </c>
      <c r="D19" s="15"/>
      <c r="E19" s="77">
        <v>71.1</v>
      </c>
      <c r="F19" s="71"/>
      <c r="G19" s="68">
        <v>77.8</v>
      </c>
      <c r="H19" s="29"/>
      <c r="I19" s="75"/>
      <c r="J19" s="69">
        <f>(687.32+(52.82*83%)+(85.04*30%)+(84.81*90.77%))/(1279.551-96.26)*100</f>
        <v>70.45220803673823</v>
      </c>
      <c r="K19" s="57"/>
      <c r="L19" s="57"/>
      <c r="M19" s="57"/>
      <c r="N19" s="57"/>
      <c r="O19" s="57"/>
    </row>
    <row r="20" spans="1:15" ht="15">
      <c r="A20" s="47">
        <v>10</v>
      </c>
      <c r="B20" s="19" t="s">
        <v>51</v>
      </c>
      <c r="D20" s="15"/>
      <c r="E20" s="77">
        <v>70.3</v>
      </c>
      <c r="F20" s="71"/>
      <c r="G20" s="68">
        <v>72.3</v>
      </c>
      <c r="H20" s="29"/>
      <c r="I20" s="75"/>
      <c r="J20" s="69"/>
      <c r="K20" s="57"/>
      <c r="L20" s="57"/>
      <c r="M20" s="57"/>
      <c r="N20" s="57"/>
      <c r="O20" s="57"/>
    </row>
    <row r="21" spans="1:15" ht="15">
      <c r="A21" s="47">
        <v>11</v>
      </c>
      <c r="B21" t="s">
        <v>13</v>
      </c>
      <c r="D21" s="15"/>
      <c r="E21" s="77">
        <v>69.9</v>
      </c>
      <c r="F21" s="71"/>
      <c r="G21" s="68">
        <v>75.9</v>
      </c>
      <c r="H21" s="29"/>
      <c r="I21" s="75"/>
      <c r="J21" s="69">
        <f>(1431.05+(151.37*83%)+(155.94*30%)+(185.48*90.77%))/(2720.033-155.72)*100</f>
        <v>69.09567186221027</v>
      </c>
      <c r="K21" s="57"/>
      <c r="L21" s="57"/>
      <c r="M21" s="57"/>
      <c r="N21" s="57"/>
      <c r="O21" s="57"/>
    </row>
    <row r="22" spans="1:15" ht="15">
      <c r="A22" s="47">
        <v>12</v>
      </c>
      <c r="B22" t="s">
        <v>14</v>
      </c>
      <c r="D22" s="15"/>
      <c r="E22" s="77">
        <v>73.2</v>
      </c>
      <c r="F22" s="71"/>
      <c r="G22" s="68">
        <v>79.8</v>
      </c>
      <c r="H22" s="29"/>
      <c r="I22" s="75"/>
      <c r="J22" s="69">
        <f>(5335.626+(855.3*83%)+(609.72*30%)+(661.09*90.77%))/(10217.845-738.874-0.54)*100</f>
        <v>72.04264495885448</v>
      </c>
      <c r="K22" s="57"/>
      <c r="L22" s="57"/>
      <c r="M22" s="57"/>
      <c r="N22" s="57"/>
      <c r="O22" s="57"/>
    </row>
    <row r="23" spans="1:15" ht="15">
      <c r="A23" s="47">
        <v>13</v>
      </c>
      <c r="B23" t="s">
        <v>15</v>
      </c>
      <c r="D23" s="15"/>
      <c r="E23" s="77">
        <v>74.4</v>
      </c>
      <c r="F23" s="71"/>
      <c r="G23" s="68">
        <v>80.3</v>
      </c>
      <c r="H23" s="29"/>
      <c r="I23" s="75"/>
      <c r="J23" s="69">
        <f>(586.69+(38.24*83%)+(57.72*30%)+(49.25*90.77%))/(966.941-45.34)*100</f>
        <v>73.83340784135434</v>
      </c>
      <c r="K23" s="57"/>
      <c r="L23" s="57"/>
      <c r="M23" s="57"/>
      <c r="N23" s="57"/>
      <c r="O23" s="57"/>
    </row>
    <row r="24" spans="1:15" ht="15">
      <c r="A24" s="47">
        <v>14</v>
      </c>
      <c r="B24" t="s">
        <v>16</v>
      </c>
      <c r="D24" s="15"/>
      <c r="E24" s="77">
        <v>71.9</v>
      </c>
      <c r="F24" s="71"/>
      <c r="G24" s="68">
        <v>80.1</v>
      </c>
      <c r="H24" s="29"/>
      <c r="I24" s="75"/>
      <c r="J24" s="69">
        <f>(665.997+(56.12*83%)+(107.66*30%)+(77.68*90.77%))/(1229.217-84.12)*100</f>
        <v>71.20660834846304</v>
      </c>
      <c r="K24" s="57"/>
      <c r="L24" s="57"/>
      <c r="M24" s="57"/>
      <c r="N24" s="57"/>
      <c r="O24" s="57"/>
    </row>
    <row r="25" spans="1:15" ht="15">
      <c r="A25" s="47">
        <v>15</v>
      </c>
      <c r="B25" t="s">
        <v>17</v>
      </c>
      <c r="D25" s="15"/>
      <c r="E25" s="77">
        <v>72.8</v>
      </c>
      <c r="F25" s="71"/>
      <c r="G25" s="68">
        <v>80.2</v>
      </c>
      <c r="H25" s="29"/>
      <c r="I25" s="75"/>
      <c r="J25" s="69">
        <f>(176.902+(0*83%)+(26.88*30%)+(31.1*90.77%))/(292.932)*100</f>
        <v>72.77984993104201</v>
      </c>
      <c r="K25" s="57"/>
      <c r="L25" s="57"/>
      <c r="M25" s="57"/>
      <c r="N25" s="57"/>
      <c r="O25" s="57"/>
    </row>
    <row r="26" spans="1:15" ht="15">
      <c r="A26" s="47">
        <v>16</v>
      </c>
      <c r="B26" t="s">
        <v>18</v>
      </c>
      <c r="D26" s="15"/>
      <c r="E26" s="77">
        <v>70.5</v>
      </c>
      <c r="F26" s="71"/>
      <c r="G26" s="68">
        <v>76.9</v>
      </c>
      <c r="H26" s="29"/>
      <c r="I26" s="75"/>
      <c r="J26" s="69">
        <f>(1205.18+(113.4*83%)+(135.72*30%)+(133.82*90.77%))/(2281.36-187.32)*100</f>
        <v>69.79266938549407</v>
      </c>
      <c r="K26" s="57"/>
      <c r="L26" s="57"/>
      <c r="M26" s="57"/>
      <c r="N26" s="57"/>
      <c r="O26" s="57"/>
    </row>
    <row r="27" spans="1:15" ht="15">
      <c r="A27" s="47">
        <v>17</v>
      </c>
      <c r="B27" t="s">
        <v>19</v>
      </c>
      <c r="D27" s="15"/>
      <c r="E27" s="77">
        <v>67.6</v>
      </c>
      <c r="F27" s="71"/>
      <c r="G27" s="68">
        <v>71.2</v>
      </c>
      <c r="H27" s="29"/>
      <c r="I27" s="75"/>
      <c r="J27" s="69">
        <f>(250.53+(5.84*83%)+(16.84*30%)+(47.14*90.77%))/(449.85)*100</f>
        <v>67.40428542847616</v>
      </c>
      <c r="K27" s="57"/>
      <c r="L27" s="57"/>
      <c r="M27" s="57"/>
      <c r="N27" s="57"/>
      <c r="O27" s="57"/>
    </row>
    <row r="28" spans="1:15" ht="15">
      <c r="A28" s="47">
        <v>18</v>
      </c>
      <c r="B28" t="s">
        <v>20</v>
      </c>
      <c r="D28" s="15"/>
      <c r="E28" s="77">
        <v>74.9</v>
      </c>
      <c r="F28" s="71"/>
      <c r="G28" s="68">
        <v>79.8</v>
      </c>
      <c r="H28" s="29"/>
      <c r="I28" s="75"/>
      <c r="J28" s="69">
        <f>(1649.257+(177.82*83%)+(123.92*30%)+(200.86*90.77%))/(2832.92-109.2)*100</f>
        <v>74.02905665780622</v>
      </c>
      <c r="K28" s="57"/>
      <c r="L28" s="57"/>
      <c r="M28" s="57"/>
      <c r="N28" s="57"/>
      <c r="O28" s="57"/>
    </row>
    <row r="29" spans="1:15" ht="15">
      <c r="A29" s="47">
        <v>19</v>
      </c>
      <c r="B29" t="s">
        <v>21</v>
      </c>
      <c r="D29" s="15"/>
      <c r="E29" s="77">
        <v>70</v>
      </c>
      <c r="F29" s="71"/>
      <c r="G29" s="68">
        <v>74.8</v>
      </c>
      <c r="H29" s="29"/>
      <c r="I29" s="75"/>
      <c r="J29" s="69">
        <f>(1807.42+(232.02*83%)+(135.08*30%)+(243.76*90.77%))/(3421.777-143.96)*100</f>
        <v>69.00267928319367</v>
      </c>
      <c r="K29" s="57"/>
      <c r="L29" s="57"/>
      <c r="M29" s="57"/>
      <c r="N29" s="57"/>
      <c r="O29" s="57"/>
    </row>
    <row r="30" spans="1:15" ht="15">
      <c r="A30" s="47">
        <v>20</v>
      </c>
      <c r="B30" t="s">
        <v>22</v>
      </c>
      <c r="D30" s="15"/>
      <c r="E30" s="77">
        <v>71.6</v>
      </c>
      <c r="F30" s="71"/>
      <c r="G30" s="68">
        <v>78.2</v>
      </c>
      <c r="H30" s="29"/>
      <c r="I30" s="75"/>
      <c r="J30" s="69">
        <f>(321.09+(37.98*83%)+(40.16*30%)+(35.79*90.77%))/(584.243-22.52)*100</f>
        <v>70.70174854866187</v>
      </c>
      <c r="K30" s="57"/>
      <c r="L30" s="57"/>
      <c r="M30" s="57"/>
      <c r="N30" s="57"/>
      <c r="O30" s="57"/>
    </row>
    <row r="31" spans="1:15" ht="15">
      <c r="A31" s="47">
        <v>21</v>
      </c>
      <c r="B31" s="19" t="s">
        <v>35</v>
      </c>
      <c r="D31" s="15"/>
      <c r="E31" s="77">
        <v>73.1</v>
      </c>
      <c r="F31" s="71"/>
      <c r="G31" s="68">
        <v>76.4</v>
      </c>
      <c r="H31" s="29"/>
      <c r="I31" s="75"/>
      <c r="J31" s="69">
        <f>(2661.175+(184.02*83%)+(120.18*30%)+(347.6*90.77%))/(4469.75-107.3)*100</f>
        <v>72.56202638425657</v>
      </c>
      <c r="K31" s="57"/>
      <c r="L31" s="57"/>
      <c r="M31" s="57"/>
      <c r="N31" s="57"/>
      <c r="O31" s="57"/>
    </row>
    <row r="32" spans="1:15" ht="15">
      <c r="A32" s="47">
        <v>22</v>
      </c>
      <c r="B32" s="19" t="s">
        <v>36</v>
      </c>
      <c r="D32" s="15"/>
      <c r="E32" s="77">
        <v>73.8</v>
      </c>
      <c r="F32" s="71"/>
      <c r="G32" s="68">
        <v>79.4</v>
      </c>
      <c r="H32" s="29"/>
      <c r="I32" s="75"/>
      <c r="J32" s="69">
        <f>(5883.73+(625.12*83%)+(564.1*30%)+(563.16*90.77%))/(10318.03-604)*100</f>
        <v>72.91505103443163</v>
      </c>
      <c r="K32" s="57"/>
      <c r="L32" s="57"/>
      <c r="M32" s="57"/>
      <c r="N32" s="57"/>
      <c r="O32" s="57"/>
    </row>
    <row r="33" spans="4:15" ht="15">
      <c r="D33" s="15"/>
      <c r="H33" s="29"/>
      <c r="I33" s="75"/>
      <c r="J33" s="69">
        <f>(128.57+(0*83%)+(2.35*30%)+(31.432*90.77%))/(224.612)*100</f>
        <v>70.25707727102737</v>
      </c>
      <c r="K33" s="57"/>
      <c r="L33" s="57"/>
      <c r="M33" s="57"/>
      <c r="N33" s="57"/>
      <c r="O33" s="57"/>
    </row>
    <row r="34" spans="4:15" ht="15">
      <c r="D34" s="20"/>
      <c r="E34" s="78">
        <f>SUM(E11:E32)</f>
        <v>1566.3999999999999</v>
      </c>
      <c r="F34" s="78"/>
      <c r="G34" s="78">
        <f>SUM(G11:G32)</f>
        <v>1688.8</v>
      </c>
      <c r="H34" s="72"/>
      <c r="I34" s="75"/>
      <c r="J34" s="79">
        <f>SUM(J11:J33)</f>
        <v>1551.533245436368</v>
      </c>
      <c r="K34" s="57"/>
      <c r="L34" s="57"/>
      <c r="M34" s="57"/>
      <c r="N34" s="57"/>
      <c r="O34" s="57"/>
    </row>
    <row r="35" spans="4:15" ht="15.75" thickBot="1">
      <c r="D35" s="12"/>
      <c r="E35" s="67">
        <f>E34/22</f>
        <v>71.19999999999999</v>
      </c>
      <c r="F35" s="67"/>
      <c r="G35" s="67">
        <f>G34/22</f>
        <v>76.76363636363637</v>
      </c>
      <c r="H35" s="72"/>
      <c r="I35" s="75"/>
      <c r="J35" s="64">
        <f>J34/22</f>
        <v>70.52423842892581</v>
      </c>
      <c r="K35" s="57"/>
      <c r="L35" s="57"/>
      <c r="M35" s="57"/>
      <c r="N35" s="57"/>
      <c r="O35" s="57"/>
    </row>
    <row r="36" spans="5:15" ht="15.75" thickBot="1">
      <c r="E36" s="41" t="s">
        <v>47</v>
      </c>
      <c r="G36" s="41" t="s">
        <v>47</v>
      </c>
      <c r="H36" s="53"/>
      <c r="I36" s="57"/>
      <c r="J36" s="66"/>
      <c r="K36" s="66"/>
      <c r="L36" s="57"/>
      <c r="M36" s="65"/>
      <c r="N36" s="57"/>
      <c r="O36" s="65"/>
    </row>
    <row r="37" spans="11:15" ht="15">
      <c r="K37" s="12"/>
      <c r="M37" s="16"/>
      <c r="O37" s="16"/>
    </row>
    <row r="39" ht="15">
      <c r="D39" s="33"/>
    </row>
    <row r="40" ht="15">
      <c r="D40" s="11"/>
    </row>
    <row r="41" ht="15">
      <c r="D41" s="15"/>
    </row>
    <row r="42" ht="15">
      <c r="D42" s="15"/>
    </row>
    <row r="43" ht="15">
      <c r="D43" s="15"/>
    </row>
    <row r="44" ht="15">
      <c r="D44" s="15"/>
    </row>
    <row r="45" ht="15">
      <c r="D45" s="15"/>
    </row>
    <row r="46" ht="15">
      <c r="D46" s="15"/>
    </row>
    <row r="47" ht="15">
      <c r="D47" s="15"/>
    </row>
    <row r="48" ht="15">
      <c r="D48" s="15"/>
    </row>
    <row r="49" ht="15">
      <c r="D49" s="15"/>
    </row>
    <row r="50" ht="15">
      <c r="D50" s="15"/>
    </row>
    <row r="51" ht="15">
      <c r="D51" s="15"/>
    </row>
    <row r="52" ht="15">
      <c r="D52" s="15"/>
    </row>
    <row r="53" ht="15">
      <c r="D53" s="15"/>
    </row>
    <row r="54" ht="15">
      <c r="D54" s="15"/>
    </row>
    <row r="55" ht="15">
      <c r="D55" s="15"/>
    </row>
    <row r="56" ht="15">
      <c r="D56" s="15"/>
    </row>
    <row r="57" ht="15">
      <c r="D57" s="15"/>
    </row>
    <row r="58" ht="15">
      <c r="D58" s="15"/>
    </row>
    <row r="59" ht="15">
      <c r="D59" s="15"/>
    </row>
    <row r="60" spans="2:4" ht="15">
      <c r="B60" s="19"/>
      <c r="D60" s="15"/>
    </row>
    <row r="61" spans="2:4" ht="15">
      <c r="B61" s="19"/>
      <c r="D61" s="15"/>
    </row>
    <row r="62" spans="2:4" ht="15">
      <c r="B62" s="19"/>
      <c r="D62" s="15"/>
    </row>
    <row r="63" ht="15">
      <c r="D63" s="20"/>
    </row>
    <row r="64" ht="15">
      <c r="D64" s="12"/>
    </row>
  </sheetData>
  <sheetProtection/>
  <mergeCells count="3">
    <mergeCell ref="G5:G6"/>
    <mergeCell ref="C6:D6"/>
    <mergeCell ref="J2:L2"/>
  </mergeCells>
  <printOptions/>
  <pageMargins left="0.31496062992125984" right="0.2755905511811024" top="0.31496062992125984" bottom="0.2362204724409449" header="0.31496062992125984" footer="0.31496062992125984"/>
  <pageSetup fitToHeight="1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E11" sqref="E11:E32"/>
    </sheetView>
  </sheetViews>
  <sheetFormatPr defaultColWidth="9.140625" defaultRowHeight="15"/>
  <cols>
    <col min="1" max="1" width="3.8515625" style="47" customWidth="1"/>
    <col min="3" max="3" width="11.00390625" style="0" customWidth="1"/>
    <col min="4" max="4" width="3.421875" style="0" customWidth="1"/>
    <col min="5" max="5" width="13.28125" style="0" customWidth="1"/>
    <col min="6" max="6" width="6.7109375" style="0" customWidth="1"/>
    <col min="7" max="7" width="15.140625" style="0" bestFit="1" customWidth="1"/>
    <col min="8" max="8" width="5.7109375" style="0" customWidth="1"/>
    <col min="9" max="9" width="6.421875" style="0" customWidth="1"/>
    <col min="11" max="11" width="14.28125" style="0" customWidth="1"/>
    <col min="12" max="12" width="4.7109375" style="0" customWidth="1"/>
    <col min="13" max="13" width="9.57421875" style="0" bestFit="1" customWidth="1"/>
    <col min="16" max="16" width="6.8515625" style="23" customWidth="1"/>
    <col min="17" max="17" width="20.7109375" style="0" bestFit="1" customWidth="1"/>
    <col min="18" max="18" width="18.140625" style="0" bestFit="1" customWidth="1"/>
  </cols>
  <sheetData>
    <row r="1" spans="9:15" ht="15">
      <c r="I1" s="54" t="s">
        <v>37</v>
      </c>
      <c r="J1" s="55" t="s">
        <v>62</v>
      </c>
      <c r="K1" s="55"/>
      <c r="L1" s="55"/>
      <c r="M1" s="56"/>
      <c r="N1" s="57" t="s">
        <v>63</v>
      </c>
      <c r="O1" s="57"/>
    </row>
    <row r="2" spans="9:15" ht="15">
      <c r="I2" s="54"/>
      <c r="J2" s="111" t="s">
        <v>59</v>
      </c>
      <c r="K2" s="111"/>
      <c r="L2" s="111"/>
      <c r="M2" s="58"/>
      <c r="N2" s="57"/>
      <c r="O2" s="57"/>
    </row>
    <row r="3" spans="9:15" ht="15">
      <c r="I3" s="57"/>
      <c r="J3" s="57"/>
      <c r="K3" s="57"/>
      <c r="L3" s="57"/>
      <c r="M3" s="57"/>
      <c r="N3" s="57"/>
      <c r="O3" s="57"/>
    </row>
    <row r="4" spans="2:16" ht="15.75">
      <c r="B4" s="4" t="s">
        <v>68</v>
      </c>
      <c r="I4" s="59" t="s">
        <v>64</v>
      </c>
      <c r="J4" s="60"/>
      <c r="K4" s="60"/>
      <c r="L4" s="60"/>
      <c r="M4" s="60"/>
      <c r="N4" s="60"/>
      <c r="O4" s="60"/>
      <c r="P4" s="81"/>
    </row>
    <row r="5" spans="2:17" ht="21.75" customHeight="1">
      <c r="B5" s="5" t="s">
        <v>37</v>
      </c>
      <c r="C5" s="49" t="s">
        <v>42</v>
      </c>
      <c r="D5" s="49"/>
      <c r="E5" s="50"/>
      <c r="F5" s="14"/>
      <c r="G5" s="108" t="s">
        <v>38</v>
      </c>
      <c r="H5" s="80"/>
      <c r="I5" s="60" t="s">
        <v>66</v>
      </c>
      <c r="J5" s="61"/>
      <c r="K5" s="61"/>
      <c r="L5" s="61"/>
      <c r="M5" s="61"/>
      <c r="N5" s="61"/>
      <c r="O5" s="61"/>
      <c r="P5" s="82"/>
      <c r="Q5" s="48"/>
    </row>
    <row r="6" spans="2:15" ht="15">
      <c r="B6" s="5"/>
      <c r="C6" s="110" t="s">
        <v>59</v>
      </c>
      <c r="D6" s="110"/>
      <c r="E6" s="51"/>
      <c r="F6" s="29"/>
      <c r="G6" s="108"/>
      <c r="H6" s="80"/>
      <c r="I6" s="57" t="s">
        <v>67</v>
      </c>
      <c r="J6" s="57"/>
      <c r="K6" s="57"/>
      <c r="L6" s="57"/>
      <c r="M6" s="57"/>
      <c r="N6" s="57"/>
      <c r="O6" s="57"/>
    </row>
    <row r="7" spans="2:15" ht="15">
      <c r="B7" s="5" t="s">
        <v>4</v>
      </c>
      <c r="C7" s="5"/>
      <c r="D7" s="5"/>
      <c r="E7" s="5"/>
      <c r="I7" s="57" t="s">
        <v>65</v>
      </c>
      <c r="J7" s="57"/>
      <c r="K7" s="57"/>
      <c r="L7" s="57"/>
      <c r="M7" s="57"/>
      <c r="N7" s="57"/>
      <c r="O7" s="57"/>
    </row>
    <row r="8" spans="8:15" ht="15">
      <c r="H8" s="23"/>
      <c r="I8" s="57"/>
      <c r="J8" s="62" t="s">
        <v>40</v>
      </c>
      <c r="K8" s="63"/>
      <c r="L8" s="63"/>
      <c r="M8" s="63"/>
      <c r="N8" s="57"/>
      <c r="O8" s="57"/>
    </row>
    <row r="9" spans="4:20" ht="15">
      <c r="D9" s="33"/>
      <c r="E9" s="34" t="s">
        <v>49</v>
      </c>
      <c r="F9" s="11"/>
      <c r="G9" s="34" t="s">
        <v>49</v>
      </c>
      <c r="H9" s="28"/>
      <c r="I9" s="57"/>
      <c r="J9" s="84" t="s">
        <v>75</v>
      </c>
      <c r="K9" s="84"/>
      <c r="L9" s="84"/>
      <c r="M9" s="84"/>
      <c r="N9" s="57"/>
      <c r="O9" s="57"/>
      <c r="Q9" s="13" t="s">
        <v>71</v>
      </c>
      <c r="R9" s="13" t="s">
        <v>72</v>
      </c>
      <c r="S9" s="13" t="s">
        <v>69</v>
      </c>
      <c r="T9" s="13" t="s">
        <v>70</v>
      </c>
    </row>
    <row r="10" spans="4:20" ht="15">
      <c r="D10" s="11"/>
      <c r="E10" s="34" t="s">
        <v>50</v>
      </c>
      <c r="F10" s="11"/>
      <c r="G10" s="34" t="s">
        <v>56</v>
      </c>
      <c r="H10" s="73"/>
      <c r="I10" s="75"/>
      <c r="J10" s="84" t="s">
        <v>76</v>
      </c>
      <c r="K10" s="63"/>
      <c r="L10" s="63"/>
      <c r="M10" s="63"/>
      <c r="N10" s="57"/>
      <c r="O10" s="57"/>
      <c r="Q10">
        <v>3310.86</v>
      </c>
      <c r="R10">
        <v>7</v>
      </c>
      <c r="S10">
        <f>Q10*R10%</f>
        <v>231.76020000000003</v>
      </c>
      <c r="T10">
        <f>Q10-S10</f>
        <v>3079.0998</v>
      </c>
    </row>
    <row r="11" spans="1:20" ht="15">
      <c r="A11" s="47">
        <v>1</v>
      </c>
      <c r="B11" t="s">
        <v>23</v>
      </c>
      <c r="D11" s="15"/>
      <c r="E11" s="76">
        <v>70</v>
      </c>
      <c r="F11" s="70"/>
      <c r="G11" s="68"/>
      <c r="H11" s="74"/>
      <c r="I11" s="75">
        <v>68.96</v>
      </c>
      <c r="J11" s="85">
        <f>(327.753+(3*95.41%)+(41.86*30%)+(46.66*90.25%))/(547.333)*100</f>
        <v>70.39296917964019</v>
      </c>
      <c r="K11" s="57"/>
      <c r="L11" s="57"/>
      <c r="M11" s="57"/>
      <c r="N11" s="57"/>
      <c r="O11" s="57"/>
      <c r="Q11">
        <v>2044.14</v>
      </c>
      <c r="R11">
        <v>0.68</v>
      </c>
      <c r="S11">
        <f>Q11*R11%</f>
        <v>13.900152000000002</v>
      </c>
      <c r="T11">
        <f>Q11-S11</f>
        <v>2030.2398480000002</v>
      </c>
    </row>
    <row r="12" spans="1:20" ht="15">
      <c r="A12" s="47">
        <v>2</v>
      </c>
      <c r="B12" t="s">
        <v>5</v>
      </c>
      <c r="D12" s="15"/>
      <c r="E12" s="76">
        <v>75</v>
      </c>
      <c r="F12" s="70"/>
      <c r="G12" s="68"/>
      <c r="H12" s="29"/>
      <c r="I12" s="75">
        <v>70.38</v>
      </c>
      <c r="J12" s="85">
        <f>(6337.433+(883.53*95.41%)+(418.563*30%)+(882.24*90.25%))/(11237.376-405.58-4.2)*100</f>
        <v>74.82916312171234</v>
      </c>
      <c r="K12" s="57"/>
      <c r="L12" s="57"/>
      <c r="M12" s="57"/>
      <c r="N12" s="57"/>
      <c r="O12" s="57"/>
      <c r="P12" s="23" t="s">
        <v>73</v>
      </c>
      <c r="Q12" s="13">
        <f>SUM(Q10:Q11)</f>
        <v>5355</v>
      </c>
      <c r="R12">
        <f>SUM(R10:R11)</f>
        <v>7.68</v>
      </c>
      <c r="S12">
        <f>SUM(S10:S11)</f>
        <v>245.66035200000002</v>
      </c>
      <c r="T12">
        <f>SUM(T10:T11)</f>
        <v>5109.339648</v>
      </c>
    </row>
    <row r="13" spans="1:15" ht="15">
      <c r="A13" s="47">
        <v>3</v>
      </c>
      <c r="B13" t="s">
        <v>6</v>
      </c>
      <c r="D13" s="15"/>
      <c r="E13" s="76">
        <v>73</v>
      </c>
      <c r="F13" s="71"/>
      <c r="G13" s="68"/>
      <c r="H13" s="29"/>
      <c r="I13" s="75">
        <v>68.51</v>
      </c>
      <c r="J13" s="85">
        <f>(1476.677+(207.09*95.41%)+(129.574*30%)+(208.646*90.25%))/(2700.087-88.245-1.315)*100</f>
        <v>72.83727707087495</v>
      </c>
      <c r="K13" s="57"/>
      <c r="L13" s="65"/>
      <c r="M13" s="57"/>
      <c r="N13" s="57"/>
      <c r="O13" s="57"/>
    </row>
    <row r="14" spans="1:17" ht="15">
      <c r="A14" s="47">
        <v>4</v>
      </c>
      <c r="B14" t="s">
        <v>7</v>
      </c>
      <c r="D14" s="15"/>
      <c r="E14" s="76">
        <v>77</v>
      </c>
      <c r="F14" s="71"/>
      <c r="G14" s="68"/>
      <c r="H14" s="29"/>
      <c r="I14" s="75">
        <v>74.89</v>
      </c>
      <c r="J14" s="85">
        <f>(934.89+(35.14*95.41%)+(78.9*30%)+(112.02*90.25%))/(1496.865-77.28-0.115)*100</f>
        <v>77.01361240462988</v>
      </c>
      <c r="K14" s="57"/>
      <c r="L14" s="57"/>
      <c r="M14" s="57"/>
      <c r="N14" s="57"/>
      <c r="O14" s="57"/>
      <c r="Q14">
        <f>Q12*R12%</f>
        <v>411.26399999999995</v>
      </c>
    </row>
    <row r="15" spans="1:15" ht="15">
      <c r="A15" s="47">
        <v>5</v>
      </c>
      <c r="B15" t="s">
        <v>8</v>
      </c>
      <c r="D15" s="15"/>
      <c r="E15" s="77">
        <v>75</v>
      </c>
      <c r="F15" s="71"/>
      <c r="G15" s="68"/>
      <c r="H15" s="29"/>
      <c r="I15" s="75">
        <v>70.01</v>
      </c>
      <c r="J15" s="85">
        <f>(1342.971+(204.39*95.41%)+(129.06*30%)+(180.64*90.25%))/(2460.961-131)*100</f>
        <v>74.66756306221434</v>
      </c>
      <c r="K15" s="57"/>
      <c r="L15" s="57"/>
      <c r="M15" s="57"/>
      <c r="N15" s="57"/>
      <c r="O15" s="57"/>
    </row>
    <row r="16" spans="1:19" ht="15">
      <c r="A16" s="47">
        <v>6</v>
      </c>
      <c r="B16" t="s">
        <v>9</v>
      </c>
      <c r="D16" s="15"/>
      <c r="E16" s="77">
        <v>75</v>
      </c>
      <c r="F16" s="71"/>
      <c r="G16" s="68"/>
      <c r="H16" s="29"/>
      <c r="I16" s="75">
        <v>70.75</v>
      </c>
      <c r="J16" s="85">
        <f>(2394.88+(246.74*95.41%)+(195.36*30%)+(376.52*90.25%))/(4269.56-205.26)*100</f>
        <v>74.51989110055854</v>
      </c>
      <c r="K16" s="57"/>
      <c r="L16" s="57"/>
      <c r="M16" s="57"/>
      <c r="N16" s="57"/>
      <c r="O16" s="57"/>
      <c r="Q16">
        <f>Q12*4.587%</f>
        <v>245.63384999999997</v>
      </c>
      <c r="R16" s="13">
        <v>4.587</v>
      </c>
      <c r="S16" t="s">
        <v>74</v>
      </c>
    </row>
    <row r="17" spans="1:15" ht="15">
      <c r="A17" s="47">
        <v>7</v>
      </c>
      <c r="B17" t="s">
        <v>10</v>
      </c>
      <c r="D17" s="15"/>
      <c r="E17" s="77">
        <v>76</v>
      </c>
      <c r="F17" s="71"/>
      <c r="G17" s="68"/>
      <c r="H17" s="29"/>
      <c r="I17" s="75">
        <v>73.47</v>
      </c>
      <c r="J17" s="85">
        <f>(2601.803+(122.48*95.41%)+(200.62*30%)+(308.04*90.25%))/(4187.963-154.07-0.35)*100</f>
        <v>75.78581083677552</v>
      </c>
      <c r="K17" s="57"/>
      <c r="L17" s="57"/>
      <c r="M17" s="57"/>
      <c r="N17" s="57"/>
      <c r="O17" s="57"/>
    </row>
    <row r="18" spans="1:15" ht="15">
      <c r="A18" s="47">
        <v>8</v>
      </c>
      <c r="B18" t="s">
        <v>11</v>
      </c>
      <c r="D18" s="15"/>
      <c r="E18" s="77">
        <v>62</v>
      </c>
      <c r="F18" s="71"/>
      <c r="G18" s="68"/>
      <c r="H18" s="29"/>
      <c r="I18" s="86">
        <v>60</v>
      </c>
      <c r="J18" s="85">
        <f>(191.136+(0*95.41%)+(22.5*30%)+(39.48*90.25%))/(379.756)*100</f>
        <v>61.49124701123879</v>
      </c>
      <c r="K18" s="57"/>
      <c r="L18" s="57"/>
      <c r="M18" s="57"/>
      <c r="N18" s="57"/>
      <c r="O18" s="57"/>
    </row>
    <row r="19" spans="1:15" ht="15">
      <c r="A19" s="47">
        <v>9</v>
      </c>
      <c r="B19" t="s">
        <v>12</v>
      </c>
      <c r="D19" s="15"/>
      <c r="E19" s="77">
        <v>72</v>
      </c>
      <c r="F19" s="71"/>
      <c r="G19" s="68"/>
      <c r="H19" s="29"/>
      <c r="I19" s="75">
        <v>70.25</v>
      </c>
      <c r="J19" s="85">
        <f>(752.105+(32.56*95.41%)+(83.72*30%)+(86.74*90.25%))/(1289.305-61.4-1.61)*100</f>
        <v>72.29658002356692</v>
      </c>
      <c r="K19" s="57"/>
      <c r="L19" s="57"/>
      <c r="M19" s="57"/>
      <c r="N19" s="57"/>
      <c r="O19" s="57"/>
    </row>
    <row r="20" spans="1:15" ht="15">
      <c r="A20" s="47">
        <v>10</v>
      </c>
      <c r="B20" t="s">
        <v>13</v>
      </c>
      <c r="D20" s="15"/>
      <c r="E20" s="77">
        <v>73</v>
      </c>
      <c r="F20" s="71"/>
      <c r="G20" s="68"/>
      <c r="H20" s="29"/>
      <c r="I20" s="75">
        <v>69.72</v>
      </c>
      <c r="J20" s="85">
        <f>(1557.352+(115.18*95.41%)+(173.92*30%)+(198.36*90.25%))/(2776.512-161.08)*100</f>
        <v>72.58614018640131</v>
      </c>
      <c r="K20" s="57"/>
      <c r="L20" s="57"/>
      <c r="M20" s="57"/>
      <c r="N20" s="57"/>
      <c r="O20" s="57"/>
    </row>
    <row r="21" spans="1:15" ht="15">
      <c r="A21" s="47">
        <v>11</v>
      </c>
      <c r="B21" t="s">
        <v>14</v>
      </c>
      <c r="D21" s="15"/>
      <c r="E21" s="77">
        <v>73</v>
      </c>
      <c r="F21" s="71"/>
      <c r="G21" s="68"/>
      <c r="H21" s="29"/>
      <c r="I21" s="75">
        <v>68.862</v>
      </c>
      <c r="J21" s="85">
        <f>(5543.564+(801.16*95.41%)+(669.606*30%)+(747.174*90.25%))/(10491.879-681.165)*100</f>
        <v>73.21747521128432</v>
      </c>
      <c r="K21" s="57"/>
      <c r="L21" s="57"/>
      <c r="M21" s="57"/>
      <c r="N21" s="57"/>
      <c r="O21" s="57"/>
    </row>
    <row r="22" spans="1:15" ht="15">
      <c r="A22" s="47">
        <v>12</v>
      </c>
      <c r="B22" t="s">
        <v>15</v>
      </c>
      <c r="D22" s="15"/>
      <c r="E22" s="77">
        <v>75</v>
      </c>
      <c r="F22" s="71"/>
      <c r="G22" s="68"/>
      <c r="H22" s="29"/>
      <c r="I22" s="75">
        <v>73.16</v>
      </c>
      <c r="J22" s="85">
        <f>(633.045+(31.92*95.41%)+(60.18*30%)+(52.71*90.25%))/(1016.905-48.26)*100</f>
        <v>75.27263827305153</v>
      </c>
      <c r="K22" s="57"/>
      <c r="L22" s="57"/>
      <c r="M22" s="57"/>
      <c r="N22" s="57"/>
      <c r="O22" s="57"/>
    </row>
    <row r="23" spans="1:15" ht="15">
      <c r="A23" s="47">
        <v>13</v>
      </c>
      <c r="B23" t="s">
        <v>16</v>
      </c>
      <c r="D23" s="15"/>
      <c r="E23" s="77">
        <v>73</v>
      </c>
      <c r="F23" s="71"/>
      <c r="G23" s="68"/>
      <c r="H23" s="29"/>
      <c r="I23" s="75">
        <v>70.52</v>
      </c>
      <c r="J23" s="85">
        <f>(591.996+(33.14*95.41%)+(88.52*30%)+(79.96*90.25%))/(1038.116-49.06)*100</f>
        <v>73.03274779183383</v>
      </c>
      <c r="K23" s="57"/>
      <c r="L23" s="57"/>
      <c r="M23" s="57"/>
      <c r="N23" s="57"/>
      <c r="O23" s="57"/>
    </row>
    <row r="24" spans="1:15" ht="15">
      <c r="A24" s="47">
        <v>14</v>
      </c>
      <c r="B24" t="s">
        <v>17</v>
      </c>
      <c r="D24" s="15"/>
      <c r="E24" s="77">
        <v>67</v>
      </c>
      <c r="F24" s="71"/>
      <c r="G24" s="68"/>
      <c r="H24" s="29"/>
      <c r="I24" s="75">
        <v>65.85</v>
      </c>
      <c r="J24" s="85">
        <f>(177.847+(0*95.41%)+(26.92*30%)+(30.24*90.25%))/(317.227)*100</f>
        <v>67.21199645679592</v>
      </c>
      <c r="K24" s="57"/>
      <c r="L24" s="57"/>
      <c r="M24" s="57"/>
      <c r="N24" s="57"/>
      <c r="O24" s="57"/>
    </row>
    <row r="25" spans="1:15" ht="15">
      <c r="A25" s="47">
        <v>15</v>
      </c>
      <c r="B25" t="s">
        <v>18</v>
      </c>
      <c r="D25" s="15"/>
      <c r="E25" s="77">
        <v>71</v>
      </c>
      <c r="F25" s="71"/>
      <c r="G25" s="68"/>
      <c r="H25" s="29"/>
      <c r="I25" s="86">
        <v>68.4</v>
      </c>
      <c r="J25" s="85">
        <f>(1217.103+(104.08*95.41%)+(128.86*30%)+(136.66*90.25%))/(2277.703-206.33)*100</f>
        <v>71.37291921831557</v>
      </c>
      <c r="K25" s="57"/>
      <c r="L25" s="57"/>
      <c r="M25" s="57"/>
      <c r="N25" s="57"/>
      <c r="O25" s="57"/>
    </row>
    <row r="26" spans="1:15" ht="15">
      <c r="A26" s="47">
        <v>16</v>
      </c>
      <c r="B26" t="s">
        <v>19</v>
      </c>
      <c r="D26" s="15"/>
      <c r="E26" s="77">
        <v>69</v>
      </c>
      <c r="F26" s="71"/>
      <c r="G26" s="68"/>
      <c r="H26" s="29"/>
      <c r="I26" s="75">
        <v>67.45</v>
      </c>
      <c r="J26" s="85">
        <f>(238.336+(6.2*95.41%)+(9.32*30%)+(37.08*90.25%))/(423.216-18.92)*100</f>
        <v>69.38285810396344</v>
      </c>
      <c r="K26" s="57"/>
      <c r="L26" s="57"/>
      <c r="M26" s="57"/>
      <c r="N26" s="57"/>
      <c r="O26" s="57"/>
    </row>
    <row r="27" spans="1:15" ht="15">
      <c r="A27" s="47">
        <v>17</v>
      </c>
      <c r="B27" t="s">
        <v>20</v>
      </c>
      <c r="D27" s="15"/>
      <c r="E27" s="77">
        <v>76</v>
      </c>
      <c r="F27" s="71"/>
      <c r="G27" s="68"/>
      <c r="H27" s="29"/>
      <c r="I27" s="75">
        <v>73.047</v>
      </c>
      <c r="J27" s="85">
        <f>(1839.84+(167.78*95.41%)+(147.88*30%)+(209.58*90.25%))/(3043.16-119.34)*100</f>
        <v>76.38735790848958</v>
      </c>
      <c r="K27" s="57"/>
      <c r="L27" s="57"/>
      <c r="M27" s="57"/>
      <c r="N27" s="57"/>
      <c r="O27" s="57"/>
    </row>
    <row r="28" spans="1:15" ht="15">
      <c r="A28" s="47">
        <v>18</v>
      </c>
      <c r="B28" t="s">
        <v>21</v>
      </c>
      <c r="D28" s="15"/>
      <c r="E28" s="77">
        <v>72</v>
      </c>
      <c r="F28" s="71"/>
      <c r="G28" s="68"/>
      <c r="H28" s="29"/>
      <c r="I28" s="75">
        <v>69.05</v>
      </c>
      <c r="J28" s="85">
        <f>(1991.215+(178.4*95.41%)+(151.74*30%)+(285.74*90.25%))/(3538.755-132.5)*100</f>
        <v>72.36183990922581</v>
      </c>
      <c r="K28" s="57"/>
      <c r="L28" s="57"/>
      <c r="M28" s="57"/>
      <c r="N28" s="57"/>
      <c r="O28" s="57"/>
    </row>
    <row r="29" spans="1:15" ht="15">
      <c r="A29" s="47">
        <v>19</v>
      </c>
      <c r="B29" t="s">
        <v>22</v>
      </c>
      <c r="D29" s="15"/>
      <c r="E29" s="77">
        <v>77</v>
      </c>
      <c r="F29" s="71"/>
      <c r="G29" s="68"/>
      <c r="H29" s="29"/>
      <c r="I29" s="75">
        <v>73.12</v>
      </c>
      <c r="J29" s="85">
        <f>(364.201+(36.1*95.41%)+(35.54*30%)+(40*90.25%))/(616.041-34.67)*100</f>
        <v>76.61304227421044</v>
      </c>
      <c r="K29" s="57"/>
      <c r="L29" s="57"/>
      <c r="M29" s="57"/>
      <c r="N29" s="57"/>
      <c r="O29" s="57"/>
    </row>
    <row r="30" spans="1:15" ht="15">
      <c r="A30" s="47">
        <v>20</v>
      </c>
      <c r="B30" s="19" t="s">
        <v>35</v>
      </c>
      <c r="D30" s="15"/>
      <c r="E30" s="77">
        <v>74</v>
      </c>
      <c r="F30" s="71"/>
      <c r="G30" s="68"/>
      <c r="H30" s="29"/>
      <c r="I30" s="75">
        <v>70.99</v>
      </c>
      <c r="J30" s="85">
        <f>(2825.39+(168.98*95.41%)+(154.94*30%)+(425.28*90.25%))/(4749.273-117.68)*100</f>
        <v>73.77399132436723</v>
      </c>
      <c r="K30" s="57"/>
      <c r="L30" s="57"/>
      <c r="M30" s="57"/>
      <c r="N30" s="57"/>
      <c r="O30" s="57"/>
    </row>
    <row r="31" spans="1:15" ht="15">
      <c r="A31" s="47">
        <v>21</v>
      </c>
      <c r="B31" s="19" t="s">
        <v>36</v>
      </c>
      <c r="D31" s="15"/>
      <c r="E31" s="77">
        <v>77</v>
      </c>
      <c r="F31" s="71"/>
      <c r="G31" s="68"/>
      <c r="H31" s="29"/>
      <c r="I31" s="75">
        <v>72.637</v>
      </c>
      <c r="J31" s="85">
        <f>(6148.155+(760.8*95.41%)+(542.01*30%)+(755.3*90.25%))/(10665.305-608.8-0.638-2.18)*100</f>
        <v>76.77079592790187</v>
      </c>
      <c r="K31" s="57"/>
      <c r="L31" s="57"/>
      <c r="M31" s="57"/>
      <c r="N31" s="57"/>
      <c r="O31" s="57"/>
    </row>
    <row r="32" spans="1:15" ht="15">
      <c r="A32" s="47">
        <v>22</v>
      </c>
      <c r="B32" s="19" t="s">
        <v>51</v>
      </c>
      <c r="D32" s="15"/>
      <c r="E32" s="77">
        <v>69</v>
      </c>
      <c r="F32" s="71"/>
      <c r="G32" s="68"/>
      <c r="H32" s="29"/>
      <c r="I32" s="75">
        <v>67.59</v>
      </c>
      <c r="J32" s="85">
        <f>(133.575+(0*95.41%)+(1.605*30%)+(29.29*90.25%))/(231.25)*100</f>
        <v>69.40139459459459</v>
      </c>
      <c r="K32" s="57"/>
      <c r="L32" s="57"/>
      <c r="M32" s="57"/>
      <c r="N32" s="57"/>
      <c r="O32" s="57"/>
    </row>
    <row r="33" spans="4:15" ht="15">
      <c r="D33" s="20"/>
      <c r="E33" s="78">
        <f>SUM(E11:E32)</f>
        <v>1601</v>
      </c>
      <c r="F33" s="78"/>
      <c r="G33" s="78">
        <f>SUM(G11:G32)</f>
        <v>0</v>
      </c>
      <c r="H33" s="72"/>
      <c r="I33" s="75">
        <f>SUM(I11:I32)</f>
        <v>1537.6159999999998</v>
      </c>
      <c r="J33" s="79">
        <f>SUM(J11:J32)</f>
        <v>1601.2193109916468</v>
      </c>
      <c r="K33" s="57"/>
      <c r="L33" s="57"/>
      <c r="M33" s="57"/>
      <c r="N33" s="57"/>
      <c r="O33" s="57"/>
    </row>
    <row r="34" spans="4:15" ht="15.75" thickBot="1">
      <c r="D34" s="12"/>
      <c r="E34" s="67">
        <f>E33/22</f>
        <v>72.77272727272727</v>
      </c>
      <c r="F34" s="67"/>
      <c r="G34" s="67">
        <f>G33/22</f>
        <v>0</v>
      </c>
      <c r="H34" s="72"/>
      <c r="I34" s="75">
        <f>I33/22</f>
        <v>69.89163636363635</v>
      </c>
      <c r="J34" s="64">
        <f>J33/22</f>
        <v>72.78269595416576</v>
      </c>
      <c r="K34" s="57"/>
      <c r="L34" s="57"/>
      <c r="M34" s="57"/>
      <c r="N34" s="57"/>
      <c r="O34" s="57"/>
    </row>
    <row r="35" spans="5:16" ht="15.75" thickBot="1">
      <c r="E35" s="41" t="s">
        <v>47</v>
      </c>
      <c r="G35" s="41" t="s">
        <v>47</v>
      </c>
      <c r="H35" s="53"/>
      <c r="I35" s="57"/>
      <c r="J35" s="66"/>
      <c r="K35" s="66"/>
      <c r="L35" s="57"/>
      <c r="M35" s="65"/>
      <c r="N35" s="57"/>
      <c r="O35" s="57"/>
      <c r="P35" s="83"/>
    </row>
    <row r="36" spans="11:16" ht="15">
      <c r="K36" s="12"/>
      <c r="M36" s="16"/>
      <c r="P36" s="83"/>
    </row>
    <row r="38" ht="15">
      <c r="D38" s="33"/>
    </row>
    <row r="39" ht="15">
      <c r="D39" s="11"/>
    </row>
    <row r="40" ht="15">
      <c r="D40" s="15"/>
    </row>
    <row r="41" ht="15">
      <c r="D41" s="15"/>
    </row>
    <row r="42" ht="15">
      <c r="D42" s="15"/>
    </row>
    <row r="43" ht="15">
      <c r="D43" s="15"/>
    </row>
    <row r="44" ht="15">
      <c r="D44" s="15"/>
    </row>
    <row r="45" ht="15">
      <c r="D45" s="15"/>
    </row>
    <row r="46" ht="15">
      <c r="D46" s="15"/>
    </row>
    <row r="47" ht="15">
      <c r="D47" s="15"/>
    </row>
    <row r="48" ht="15">
      <c r="D48" s="15"/>
    </row>
    <row r="49" ht="15">
      <c r="D49" s="15"/>
    </row>
    <row r="50" ht="15">
      <c r="D50" s="15"/>
    </row>
    <row r="51" ht="15">
      <c r="D51" s="15"/>
    </row>
    <row r="52" ht="15">
      <c r="D52" s="15"/>
    </row>
    <row r="53" ht="15">
      <c r="D53" s="15"/>
    </row>
    <row r="54" ht="15">
      <c r="D54" s="15"/>
    </row>
    <row r="55" ht="15">
      <c r="D55" s="15"/>
    </row>
    <row r="56" ht="15">
      <c r="D56" s="15"/>
    </row>
    <row r="57" ht="15">
      <c r="D57" s="15"/>
    </row>
    <row r="58" ht="15">
      <c r="D58" s="15"/>
    </row>
    <row r="59" spans="2:4" ht="15">
      <c r="B59" s="19"/>
      <c r="D59" s="15"/>
    </row>
    <row r="60" spans="2:4" ht="15">
      <c r="B60" s="19"/>
      <c r="D60" s="15"/>
    </row>
    <row r="61" spans="2:4" ht="15">
      <c r="B61" s="19"/>
      <c r="D61" s="15"/>
    </row>
    <row r="62" ht="15">
      <c r="D62" s="20"/>
    </row>
    <row r="63" ht="15">
      <c r="D63" s="12"/>
    </row>
  </sheetData>
  <sheetProtection/>
  <mergeCells count="3">
    <mergeCell ref="J2:L2"/>
    <mergeCell ref="G5:G6"/>
    <mergeCell ref="C6:D6"/>
  </mergeCells>
  <printOptions/>
  <pageMargins left="0.7086614173228347" right="0.7086614173228347" top="0.7480314960629921" bottom="0.1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zoomScalePageLayoutView="0" workbookViewId="0" topLeftCell="B21">
      <selection activeCell="G35" sqref="G35"/>
    </sheetView>
  </sheetViews>
  <sheetFormatPr defaultColWidth="9.140625" defaultRowHeight="15"/>
  <cols>
    <col min="1" max="1" width="6.57421875" style="0" customWidth="1"/>
    <col min="3" max="7" width="35.7109375" style="0" customWidth="1"/>
  </cols>
  <sheetData>
    <row r="1" ht="15.75" hidden="1">
      <c r="B1" s="4" t="s">
        <v>0</v>
      </c>
    </row>
    <row r="2" ht="15" hidden="1"/>
    <row r="3" spans="2:3" ht="15" hidden="1">
      <c r="B3" s="1" t="s">
        <v>1</v>
      </c>
      <c r="C3" s="2" t="s">
        <v>2</v>
      </c>
    </row>
    <row r="4" spans="2:3" ht="15" hidden="1">
      <c r="B4" t="s">
        <v>3</v>
      </c>
      <c r="C4" s="2"/>
    </row>
    <row r="5" ht="15" hidden="1">
      <c r="C5" s="14"/>
    </row>
    <row r="6" spans="2:3" ht="21.75" customHeight="1" hidden="1">
      <c r="B6" t="s">
        <v>37</v>
      </c>
      <c r="C6" s="1" t="s">
        <v>42</v>
      </c>
    </row>
    <row r="7" spans="3:6" ht="15" hidden="1">
      <c r="C7" s="87" t="s">
        <v>43</v>
      </c>
      <c r="D7" s="23"/>
      <c r="E7" s="23"/>
      <c r="F7" s="23"/>
    </row>
    <row r="8" spans="2:6" ht="15" hidden="1">
      <c r="B8" t="s">
        <v>4</v>
      </c>
      <c r="D8" s="23"/>
      <c r="E8" s="23"/>
      <c r="F8" s="23"/>
    </row>
    <row r="9" spans="2:7" ht="18.75">
      <c r="B9" s="112" t="s">
        <v>81</v>
      </c>
      <c r="C9" s="113"/>
      <c r="D9" s="113"/>
      <c r="E9" s="113"/>
      <c r="F9" s="113"/>
      <c r="G9" s="114"/>
    </row>
    <row r="10" spans="2:7" ht="18.75">
      <c r="B10" s="115" t="s">
        <v>82</v>
      </c>
      <c r="C10" s="116"/>
      <c r="D10" s="116"/>
      <c r="E10" s="116"/>
      <c r="F10" s="116"/>
      <c r="G10" s="117"/>
    </row>
    <row r="11" spans="2:7" ht="9.75" customHeight="1">
      <c r="B11" s="105"/>
      <c r="C11" s="106"/>
      <c r="D11" s="106"/>
      <c r="E11" s="106"/>
      <c r="F11" s="106"/>
      <c r="G11" s="118"/>
    </row>
    <row r="12" spans="2:7" ht="33" customHeight="1">
      <c r="B12" s="90"/>
      <c r="C12" s="91"/>
      <c r="D12" s="103" t="s">
        <v>77</v>
      </c>
      <c r="E12" s="103" t="s">
        <v>78</v>
      </c>
      <c r="F12" s="103" t="s">
        <v>79</v>
      </c>
      <c r="G12" s="104" t="s">
        <v>84</v>
      </c>
    </row>
    <row r="13" spans="1:7" ht="18.75">
      <c r="A13">
        <v>1</v>
      </c>
      <c r="B13" s="90">
        <v>1</v>
      </c>
      <c r="C13" s="91" t="s">
        <v>23</v>
      </c>
      <c r="D13" s="92">
        <v>65.4</v>
      </c>
      <c r="E13" s="93">
        <v>67.8</v>
      </c>
      <c r="F13" s="93">
        <v>70.04</v>
      </c>
      <c r="G13" s="94">
        <v>68.4</v>
      </c>
    </row>
    <row r="14" spans="1:7" ht="18.75">
      <c r="A14">
        <v>2</v>
      </c>
      <c r="B14" s="90">
        <v>2</v>
      </c>
      <c r="C14" s="91" t="s">
        <v>5</v>
      </c>
      <c r="D14" s="92">
        <v>69.8</v>
      </c>
      <c r="E14" s="93">
        <v>73.3</v>
      </c>
      <c r="F14" s="93">
        <v>74.8</v>
      </c>
      <c r="G14" s="94">
        <v>74.2</v>
      </c>
    </row>
    <row r="15" spans="1:7" ht="18.75">
      <c r="A15">
        <v>3</v>
      </c>
      <c r="B15" s="90">
        <v>3</v>
      </c>
      <c r="C15" s="91" t="s">
        <v>6</v>
      </c>
      <c r="D15" s="92">
        <v>68.3</v>
      </c>
      <c r="E15" s="93">
        <v>72.3</v>
      </c>
      <c r="F15" s="93">
        <v>72.8</v>
      </c>
      <c r="G15" s="94">
        <v>72.1</v>
      </c>
    </row>
    <row r="16" spans="1:7" ht="18.75">
      <c r="A16">
        <v>4</v>
      </c>
      <c r="B16" s="90">
        <v>4</v>
      </c>
      <c r="C16" s="91" t="s">
        <v>7</v>
      </c>
      <c r="D16" s="92">
        <v>71.8</v>
      </c>
      <c r="E16" s="93">
        <v>73.1</v>
      </c>
      <c r="F16" s="93">
        <v>77</v>
      </c>
      <c r="G16" s="94">
        <v>75.7</v>
      </c>
    </row>
    <row r="17" spans="1:7" ht="18.75">
      <c r="A17">
        <v>5</v>
      </c>
      <c r="B17" s="90">
        <v>5</v>
      </c>
      <c r="C17" s="91" t="s">
        <v>8</v>
      </c>
      <c r="D17" s="92">
        <v>68.2</v>
      </c>
      <c r="E17" s="95">
        <v>72</v>
      </c>
      <c r="F17" s="95">
        <v>74.7</v>
      </c>
      <c r="G17" s="94">
        <v>73.7</v>
      </c>
    </row>
    <row r="18" spans="1:7" ht="18.75">
      <c r="A18">
        <v>6</v>
      </c>
      <c r="B18" s="90">
        <v>6</v>
      </c>
      <c r="C18" s="96" t="s">
        <v>35</v>
      </c>
      <c r="D18" s="92">
        <v>71.5</v>
      </c>
      <c r="E18" s="95">
        <v>73.1</v>
      </c>
      <c r="F18" s="95">
        <v>73.9</v>
      </c>
      <c r="G18" s="94">
        <v>72.9</v>
      </c>
    </row>
    <row r="19" spans="1:7" ht="18.75">
      <c r="A19">
        <v>7</v>
      </c>
      <c r="B19" s="90">
        <v>7</v>
      </c>
      <c r="C19" s="91" t="s">
        <v>9</v>
      </c>
      <c r="D19" s="92">
        <v>67.7</v>
      </c>
      <c r="E19" s="95">
        <v>72.3</v>
      </c>
      <c r="F19" s="95">
        <v>74.5</v>
      </c>
      <c r="G19" s="94">
        <v>74.4</v>
      </c>
    </row>
    <row r="20" spans="1:7" ht="18.75">
      <c r="A20">
        <v>8</v>
      </c>
      <c r="B20" s="90">
        <v>8</v>
      </c>
      <c r="C20" s="91" t="s">
        <v>10</v>
      </c>
      <c r="D20" s="92">
        <v>73.1</v>
      </c>
      <c r="E20" s="95">
        <v>75.3</v>
      </c>
      <c r="F20" s="95">
        <v>75.8</v>
      </c>
      <c r="G20" s="94">
        <v>75</v>
      </c>
    </row>
    <row r="21" spans="1:7" ht="18.75">
      <c r="A21">
        <v>9</v>
      </c>
      <c r="B21" s="90">
        <v>9</v>
      </c>
      <c r="C21" s="91" t="s">
        <v>11</v>
      </c>
      <c r="D21" s="92">
        <v>46.3</v>
      </c>
      <c r="E21" s="95">
        <v>55.2</v>
      </c>
      <c r="F21" s="95">
        <v>61.5</v>
      </c>
      <c r="G21" s="94">
        <v>62.3</v>
      </c>
    </row>
    <row r="22" spans="1:7" ht="18.75">
      <c r="A22">
        <v>10</v>
      </c>
      <c r="B22" s="90">
        <v>10</v>
      </c>
      <c r="C22" s="91" t="s">
        <v>12</v>
      </c>
      <c r="D22" s="92">
        <v>67.4</v>
      </c>
      <c r="E22" s="95">
        <v>71.1</v>
      </c>
      <c r="F22" s="95">
        <v>72.2</v>
      </c>
      <c r="G22" s="94">
        <v>69.8</v>
      </c>
    </row>
    <row r="23" spans="1:7" ht="18.75">
      <c r="A23">
        <v>11</v>
      </c>
      <c r="B23" s="90">
        <v>11</v>
      </c>
      <c r="C23" s="91" t="s">
        <v>51</v>
      </c>
      <c r="D23" s="92">
        <v>69.2</v>
      </c>
      <c r="E23" s="95">
        <v>70.3</v>
      </c>
      <c r="F23" s="95">
        <v>69.4</v>
      </c>
      <c r="G23" s="94">
        <v>66.3</v>
      </c>
    </row>
    <row r="24" spans="1:7" ht="18.75">
      <c r="A24">
        <v>12</v>
      </c>
      <c r="B24" s="90">
        <v>12</v>
      </c>
      <c r="C24" s="91" t="s">
        <v>13</v>
      </c>
      <c r="D24" s="92">
        <v>67.1</v>
      </c>
      <c r="E24" s="95">
        <v>69.9</v>
      </c>
      <c r="F24" s="95">
        <v>72.6</v>
      </c>
      <c r="G24" s="94">
        <v>71.3</v>
      </c>
    </row>
    <row r="25" spans="1:7" ht="18.75">
      <c r="A25">
        <v>13</v>
      </c>
      <c r="B25" s="90">
        <v>13</v>
      </c>
      <c r="C25" s="91" t="s">
        <v>14</v>
      </c>
      <c r="D25" s="92">
        <v>69.8</v>
      </c>
      <c r="E25" s="95">
        <v>73.2</v>
      </c>
      <c r="F25" s="95">
        <v>73.3</v>
      </c>
      <c r="G25" s="94">
        <v>72.7</v>
      </c>
    </row>
    <row r="26" spans="1:7" ht="18.75">
      <c r="A26">
        <v>14</v>
      </c>
      <c r="B26" s="90">
        <v>14</v>
      </c>
      <c r="C26" s="91" t="s">
        <v>15</v>
      </c>
      <c r="D26" s="92">
        <v>70.7</v>
      </c>
      <c r="E26" s="95">
        <v>74.4</v>
      </c>
      <c r="F26" s="95">
        <v>75.3</v>
      </c>
      <c r="G26" s="94">
        <v>76.1</v>
      </c>
    </row>
    <row r="27" spans="1:7" ht="18.75">
      <c r="A27">
        <v>15</v>
      </c>
      <c r="B27" s="90">
        <v>15</v>
      </c>
      <c r="C27" s="91" t="s">
        <v>16</v>
      </c>
      <c r="D27" s="92">
        <v>69.1</v>
      </c>
      <c r="E27" s="95">
        <v>71.9</v>
      </c>
      <c r="F27" s="95">
        <v>72.5</v>
      </c>
      <c r="G27" s="94">
        <v>70.3</v>
      </c>
    </row>
    <row r="28" spans="1:7" ht="18.75">
      <c r="A28">
        <v>16</v>
      </c>
      <c r="B28" s="90">
        <v>16</v>
      </c>
      <c r="C28" s="91" t="s">
        <v>17</v>
      </c>
      <c r="D28" s="92">
        <v>68.3</v>
      </c>
      <c r="E28" s="95">
        <v>72.8</v>
      </c>
      <c r="F28" s="95">
        <v>67.2</v>
      </c>
      <c r="G28" s="94">
        <v>65.2</v>
      </c>
    </row>
    <row r="29" spans="1:7" ht="18.75">
      <c r="A29">
        <v>17</v>
      </c>
      <c r="B29" s="90">
        <v>17</v>
      </c>
      <c r="C29" s="91" t="s">
        <v>18</v>
      </c>
      <c r="D29" s="92">
        <v>68.7</v>
      </c>
      <c r="E29" s="95">
        <v>70.5</v>
      </c>
      <c r="F29" s="95">
        <v>71.4</v>
      </c>
      <c r="G29" s="94">
        <v>69.9</v>
      </c>
    </row>
    <row r="30" spans="1:7" ht="18.75">
      <c r="A30">
        <v>18</v>
      </c>
      <c r="B30" s="90">
        <v>18</v>
      </c>
      <c r="C30" s="91" t="s">
        <v>19</v>
      </c>
      <c r="D30" s="92">
        <v>68.1</v>
      </c>
      <c r="E30" s="95">
        <v>67.6</v>
      </c>
      <c r="F30" s="95">
        <v>69.4</v>
      </c>
      <c r="G30" s="94">
        <v>64.9</v>
      </c>
    </row>
    <row r="31" spans="1:7" ht="18.75">
      <c r="A31">
        <v>19</v>
      </c>
      <c r="B31" s="90">
        <v>19</v>
      </c>
      <c r="C31" s="91" t="s">
        <v>20</v>
      </c>
      <c r="D31" s="92">
        <v>67.8</v>
      </c>
      <c r="E31" s="95">
        <v>74.9</v>
      </c>
      <c r="F31" s="95">
        <v>76.4</v>
      </c>
      <c r="G31" s="94">
        <v>76.7</v>
      </c>
    </row>
    <row r="32" spans="2:7" ht="18.75">
      <c r="B32" s="90">
        <v>20</v>
      </c>
      <c r="C32" s="91" t="s">
        <v>21</v>
      </c>
      <c r="D32" s="92">
        <v>67.2</v>
      </c>
      <c r="E32" s="95">
        <v>70</v>
      </c>
      <c r="F32" s="95">
        <v>72.4</v>
      </c>
      <c r="G32" s="94">
        <v>74.1</v>
      </c>
    </row>
    <row r="33" spans="2:7" ht="18.75">
      <c r="B33" s="90">
        <v>21</v>
      </c>
      <c r="C33" s="96" t="s">
        <v>36</v>
      </c>
      <c r="D33" s="92">
        <v>71.4</v>
      </c>
      <c r="E33" s="95">
        <v>73.8</v>
      </c>
      <c r="F33" s="95">
        <v>76.8</v>
      </c>
      <c r="G33" s="94">
        <v>75.5</v>
      </c>
    </row>
    <row r="34" spans="2:7" ht="18.75">
      <c r="B34" s="90">
        <v>22</v>
      </c>
      <c r="C34" s="91" t="s">
        <v>22</v>
      </c>
      <c r="D34" s="92">
        <v>69</v>
      </c>
      <c r="E34" s="95">
        <v>71.6</v>
      </c>
      <c r="F34" s="95">
        <v>76.6</v>
      </c>
      <c r="G34" s="94">
        <v>73</v>
      </c>
    </row>
    <row r="35" spans="1:7" ht="18.75">
      <c r="A35">
        <v>20</v>
      </c>
      <c r="B35" s="90"/>
      <c r="C35" s="91"/>
      <c r="D35" s="97">
        <f>SUM(D13:D34)</f>
        <v>1495.9</v>
      </c>
      <c r="E35" s="97">
        <f>SUM(E13:E34)</f>
        <v>1566.3999999999999</v>
      </c>
      <c r="F35" s="97">
        <f>SUM(F13:F34)</f>
        <v>1600.5400000000002</v>
      </c>
      <c r="G35" s="94"/>
    </row>
    <row r="36" spans="1:7" s="89" customFormat="1" ht="18.75">
      <c r="A36" s="89">
        <v>21</v>
      </c>
      <c r="B36" s="98"/>
      <c r="C36" s="99" t="s">
        <v>83</v>
      </c>
      <c r="D36" s="100">
        <f>D35/22</f>
        <v>67.99545454545455</v>
      </c>
      <c r="E36" s="100">
        <f>E35/22</f>
        <v>71.19999999999999</v>
      </c>
      <c r="F36" s="100">
        <f>F35/22</f>
        <v>72.7518181818182</v>
      </c>
      <c r="G36" s="101">
        <v>71.57</v>
      </c>
    </row>
    <row r="37" spans="2:7" ht="19.5" thickBot="1">
      <c r="B37" s="107" t="s">
        <v>80</v>
      </c>
      <c r="C37" s="102"/>
      <c r="D37" s="102"/>
      <c r="E37" s="102"/>
      <c r="F37" s="102"/>
      <c r="G37" s="119"/>
    </row>
    <row r="38" ht="15">
      <c r="B38" s="88"/>
    </row>
    <row r="40" ht="15">
      <c r="B40" s="16"/>
    </row>
  </sheetData>
  <sheetProtection/>
  <mergeCells count="2">
    <mergeCell ref="B9:G9"/>
    <mergeCell ref="B10:G10"/>
  </mergeCells>
  <printOptions horizontalCentered="1"/>
  <pageMargins left="0.7086614173228347" right="0.7086614173228347" top="1.3779527559055118" bottom="0.7480314960629921" header="0.31496062992125984" footer="0.31496062992125984"/>
  <pageSetup fitToHeight="2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sabrina franchetti</dc:creator>
  <cp:keywords/>
  <dc:description/>
  <cp:lastModifiedBy>Erica Cosaro</cp:lastModifiedBy>
  <cp:lastPrinted>2020-12-02T13:57:10Z</cp:lastPrinted>
  <dcterms:created xsi:type="dcterms:W3CDTF">2011-02-28T10:24:32Z</dcterms:created>
  <dcterms:modified xsi:type="dcterms:W3CDTF">2020-12-02T14:01:31Z</dcterms:modified>
  <cp:category/>
  <cp:version/>
  <cp:contentType/>
  <cp:contentStatus/>
</cp:coreProperties>
</file>